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00" windowHeight="7760" firstSheet="16" activeTab="16"/>
  </bookViews>
  <sheets>
    <sheet name="DA7" sheetId="1" state="hidden" r:id="rId1"/>
    <sheet name="Tổng 10 dự án" sheetId="2" state="hidden" r:id="rId2"/>
    <sheet name="DA1" sheetId="3" state="hidden" r:id="rId3"/>
    <sheet name="DA2" sheetId="4" state="hidden" r:id="rId4"/>
    <sheet name="DA3 xã" sheetId="5" state="hidden" r:id="rId5"/>
    <sheet name="DA 3 PTSX Theo Trung ương" sheetId="6" state="hidden" r:id="rId6"/>
    <sheet name="DA4 SN VÀ PHẦN A PHỤ LỤ (2" sheetId="7" state="hidden" r:id="rId7"/>
    <sheet name="DA4 ĐẦU TƯ VÀ PHẦN A PHỤ LỤC" sheetId="8" state="hidden" r:id="rId8"/>
    <sheet name="DA 4 b" sheetId="9" state="hidden" r:id="rId9"/>
    <sheet name="DA4 xã" sheetId="10" state="hidden" r:id="rId10"/>
    <sheet name="DA 6" sheetId="11" state="hidden" r:id="rId11"/>
    <sheet name="DA5" sheetId="12" state="hidden" r:id="rId12"/>
    <sheet name="DA 9" sheetId="13" state="hidden" r:id="rId13"/>
    <sheet name="DA8" sheetId="14" state="hidden" r:id="rId14"/>
    <sheet name="Dự án 10" sheetId="15" state="hidden" r:id="rId15"/>
    <sheet name="DA 10 Kiểm tra giám sát" sheetId="16" state="hidden" r:id="rId16"/>
    <sheet name="TH KH von 2022" sheetId="17" r:id="rId17"/>
    <sheet name="Biểu giao sở ngành, huyện" sheetId="18" state="hidden" r:id="rId18"/>
    <sheet name="Biểu chủ đầu tư" sheetId="19" state="hidden" r:id="rId19"/>
    <sheet name="TH Sơn Động" sheetId="20" state="hidden" r:id="rId20"/>
    <sheet name="TH Lục Ngạn" sheetId="21" state="hidden" r:id="rId21"/>
    <sheet name="TH Lục Nam" sheetId="22" state="hidden" r:id="rId22"/>
    <sheet name="Giao Sở Nông nghiệp" sheetId="23" state="hidden" r:id="rId23"/>
    <sheet name="Giao Dự án 5" sheetId="24" state="hidden" r:id="rId24"/>
    <sheet name="TH Yên Thế" sheetId="25" state="hidden" r:id="rId25"/>
    <sheet name="TH Lạng Giang" sheetId="26" state="hidden" r:id="rId26"/>
    <sheet name="Biểu 02" sheetId="27" state="hidden" r:id="rId27"/>
    <sheet name="II.2.Biểu huyen, xa" sheetId="28" state="hidden" r:id="rId28"/>
    <sheet name=" DMDA" sheetId="29" r:id="rId29"/>
  </sheets>
  <externalReferences>
    <externalReference r:id="rId32"/>
  </externalReferences>
  <definedNames>
    <definedName name="_xlnm.Print_Titles" localSheetId="26">'Biểu 02'!$5:$6</definedName>
    <definedName name="_xlnm.Print_Titles" localSheetId="17">'Biểu giao sở ngành, huyện'!$4:$5</definedName>
    <definedName name="_xlnm.Print_Titles" localSheetId="15">'DA 10 Kiểm tra giám sát'!$4:$4</definedName>
    <definedName name="_xlnm.Print_Titles" localSheetId="5">'DA 3 PTSX Theo Trung ương'!$4:$4</definedName>
    <definedName name="_xlnm.Print_Titles" localSheetId="8">'DA 4 b'!$4:$4</definedName>
    <definedName name="_xlnm.Print_Titles" localSheetId="12">'DA 9'!$4:$4</definedName>
    <definedName name="_xlnm.Print_Titles" localSheetId="0">'DA7'!$4:$4</definedName>
    <definedName name="_xlnm.Print_Titles" localSheetId="13">'DA8'!$4:$4</definedName>
    <definedName name="_xlnm.Print_Titles" localSheetId="14">'Dự án 10'!$4:$4</definedName>
    <definedName name="_xlnm.Print_Titles" localSheetId="27">'II.2.Biểu huyen, xa'!$7:$10</definedName>
    <definedName name="_xlnm.Print_Titles" localSheetId="16">'TH KH von 2022'!$6:$10</definedName>
  </definedNames>
  <calcPr fullCalcOnLoad="1"/>
</workbook>
</file>

<file path=xl/comments11.xml><?xml version="1.0" encoding="utf-8"?>
<comments xmlns="http://schemas.openxmlformats.org/spreadsheetml/2006/main">
  <authors>
    <author>Tuan</author>
  </authors>
  <commentList>
    <comment ref="S28" authorId="0">
      <text>
        <r>
          <rPr>
            <b/>
            <sz val="9"/>
            <rFont val="Tahoma"/>
            <family val="2"/>
          </rPr>
          <t>Tuan:</t>
        </r>
        <r>
          <rPr>
            <sz val="9"/>
            <rFont val="Tahoma"/>
            <family val="2"/>
          </rPr>
          <t xml:space="preserve">
</t>
        </r>
      </text>
    </comment>
  </commentList>
</comments>
</file>

<file path=xl/sharedStrings.xml><?xml version="1.0" encoding="utf-8"?>
<sst xmlns="http://schemas.openxmlformats.org/spreadsheetml/2006/main" count="2513" uniqueCount="875">
  <si>
    <t>TT</t>
  </si>
  <si>
    <t>Hộ</t>
  </si>
  <si>
    <t>Nghèo</t>
  </si>
  <si>
    <t>Các điều kiện kèm theo</t>
  </si>
  <si>
    <t>Tổng số hộ</t>
  </si>
  <si>
    <t>Tỷ lệ (%)</t>
  </si>
  <si>
    <t>ĐK1</t>
  </si>
  <si>
    <t>ĐK2</t>
  </si>
  <si>
    <t>ĐK3</t>
  </si>
  <si>
    <t xml:space="preserve">Tổng số xã </t>
  </si>
  <si>
    <t>Tên xã, thôn</t>
  </si>
  <si>
    <t>DANH SÁCH CÁC THÔN ĐẶC BIỆT KHÓ KHĂN VÙNG DÂN TỘC THIỂU SỐ VÀ MIỀN NÚI</t>
  </si>
  <si>
    <t>III</t>
  </si>
  <si>
    <t>I</t>
  </si>
  <si>
    <t>X</t>
  </si>
  <si>
    <t>II</t>
  </si>
  <si>
    <t>IV</t>
  </si>
  <si>
    <t>Thôn thuộc diện ĐBKK</t>
  </si>
  <si>
    <t>Xã thuộc khu vực</t>
  </si>
  <si>
    <t>V</t>
  </si>
  <si>
    <t>HUYỆN LẠNG GIANG</t>
  </si>
  <si>
    <t>Xã Hương Sơn</t>
  </si>
  <si>
    <t>B</t>
  </si>
  <si>
    <t>Đồng Tiến</t>
  </si>
  <si>
    <t>Tên Huyện/ xã</t>
  </si>
  <si>
    <t>HUYỆN SƠN ĐỘNG</t>
  </si>
  <si>
    <t>Thị trấn An Châu</t>
  </si>
  <si>
    <t>Tổ dân phố Cại</t>
  </si>
  <si>
    <t>Tổ dân phố Đình</t>
  </si>
  <si>
    <t>Tổ dân phố Hạ 1</t>
  </si>
  <si>
    <t>Tổ dân phố Phe</t>
  </si>
  <si>
    <t>Tổ dân phố Lừa</t>
  </si>
  <si>
    <t>Tổ dân phố Lốt</t>
  </si>
  <si>
    <t>Tổ dân phố Ké</t>
  </si>
  <si>
    <t>Tổ dân phố Mỏ</t>
  </si>
  <si>
    <t>VI</t>
  </si>
  <si>
    <t>VII</t>
  </si>
  <si>
    <t>XI</t>
  </si>
  <si>
    <t>Tân Hiệp</t>
  </si>
  <si>
    <t>XII</t>
  </si>
  <si>
    <t>XIII</t>
  </si>
  <si>
    <t>XIV</t>
  </si>
  <si>
    <t>XV</t>
  </si>
  <si>
    <t>XVI</t>
  </si>
  <si>
    <t>Xã Tuấn Đạo</t>
  </si>
  <si>
    <t>Xã Long Sơn</t>
  </si>
  <si>
    <t>Thôn Tảu</t>
  </si>
  <si>
    <t>Thôn Thượng</t>
  </si>
  <si>
    <t>Thôn Đẫng</t>
  </si>
  <si>
    <t>C</t>
  </si>
  <si>
    <t>Thôn Trại Mới</t>
  </si>
  <si>
    <t>XVII</t>
  </si>
  <si>
    <t>D</t>
  </si>
  <si>
    <t>HUYỆN LỤC NGẠN</t>
  </si>
  <si>
    <t>Đồng Vương</t>
  </si>
  <si>
    <t>Canh Nậu</t>
  </si>
  <si>
    <t>Tiến Thắng</t>
  </si>
  <si>
    <t>Đồng Hưu</t>
  </si>
  <si>
    <t>Đông Sơn</t>
  </si>
  <si>
    <t>HUYỆN YÊN THẾ</t>
  </si>
  <si>
    <t>Xã Đồng Tiến</t>
  </si>
  <si>
    <t>Bản Đồng An</t>
  </si>
  <si>
    <t>Bản Cây Vối</t>
  </si>
  <si>
    <t>Bản Khe Ngọn</t>
  </si>
  <si>
    <t>Bản Gốc Bòng</t>
  </si>
  <si>
    <t>Xã Canh Nậu</t>
  </si>
  <si>
    <t>Bản Trại Sông</t>
  </si>
  <si>
    <t>Bản Gốc Dổi</t>
  </si>
  <si>
    <t>Bản Nà Táng</t>
  </si>
  <si>
    <t>Bản Còn Trang</t>
  </si>
  <si>
    <t>Bản Đống Cao</t>
  </si>
  <si>
    <t>Bản Dốc Đơ</t>
  </si>
  <si>
    <t>Xã Tiến Thắng</t>
  </si>
  <si>
    <t>Thôn Rừng Chiềng</t>
  </si>
  <si>
    <t>Thôn Song Sơn</t>
  </si>
  <si>
    <t>Thôn Hố Luồng</t>
  </si>
  <si>
    <t>Xã Tân Hiệp</t>
  </si>
  <si>
    <t>Thôn Đồng Bông</t>
  </si>
  <si>
    <t>Xã Đông Hưu</t>
  </si>
  <si>
    <t>Thôn Mỏ Hương</t>
  </si>
  <si>
    <t>Xã Đông Sơn</t>
  </si>
  <si>
    <t>Thôn Hố Dích</t>
  </si>
  <si>
    <t>Thôn Ao Cạn</t>
  </si>
  <si>
    <t>E</t>
  </si>
  <si>
    <t>HUYỆN LỤC NAM</t>
  </si>
  <si>
    <t>Xã Trường Giang</t>
  </si>
  <si>
    <t>Xã Nghĩa Phương</t>
  </si>
  <si>
    <t>Xã Bảo Sơn</t>
  </si>
  <si>
    <t>Xã Tam Dị</t>
  </si>
  <si>
    <t xml:space="preserve">Xã Kim Sơn </t>
  </si>
  <si>
    <t>Xã Tân Lập</t>
  </si>
  <si>
    <t>Xã Thanh Hải</t>
  </si>
  <si>
    <t>Xã Biên Sơn</t>
  </si>
  <si>
    <t>Xã Tân Hoa</t>
  </si>
  <si>
    <t>Xã Kiên Thành</t>
  </si>
  <si>
    <t>Thôn Khuân Giàn</t>
  </si>
  <si>
    <t>Thôn Hèo</t>
  </si>
  <si>
    <t>Thôn Đồng Cống</t>
  </si>
  <si>
    <t>Thôn Mùng</t>
  </si>
  <si>
    <t>Thôn Tuấn Sơn</t>
  </si>
  <si>
    <t>Thôn Đông Bảo Tuấn</t>
  </si>
  <si>
    <t>Thôn Am Hà</t>
  </si>
  <si>
    <t>Thôn Nam Bồng</t>
  </si>
  <si>
    <t>Thôn Đồng Con 1</t>
  </si>
  <si>
    <t>Thôn Tân Tiến</t>
  </si>
  <si>
    <t>Thôn Hòa Trong</t>
  </si>
  <si>
    <t>Thôn Hòa Thịnh</t>
  </si>
  <si>
    <t>Thôn Đồng Phúc</t>
  </si>
  <si>
    <t>Thôn Đồng Láy</t>
  </si>
  <si>
    <t>Thôn Đức Thắng</t>
  </si>
  <si>
    <t>Thôn Khuân Rẽo</t>
  </si>
  <si>
    <t>Thôn Cai Lé</t>
  </si>
  <si>
    <t>Thôn Khuân Lương</t>
  </si>
  <si>
    <t>Thôn Xóm Cũ</t>
  </si>
  <si>
    <t>Thôn Vặt Ngoài</t>
  </si>
  <si>
    <t>Thôn Đồng Man</t>
  </si>
  <si>
    <t>Thôn Tòng Lệnh 3</t>
  </si>
  <si>
    <t>Thôn An Phúc</t>
  </si>
  <si>
    <t>Thôn Đồng Chè</t>
  </si>
  <si>
    <t>Thôn Dùm</t>
  </si>
  <si>
    <t>Thôn Mương Làng</t>
  </si>
  <si>
    <t>Thôn Bãi Ô</t>
  </si>
  <si>
    <t>Thôn Hố Nước</t>
  </si>
  <si>
    <t>Thôn Hòn Ngọc</t>
  </si>
  <si>
    <t>Thôn Trại Trầm</t>
  </si>
  <si>
    <t>Thôn Bãi Lời</t>
  </si>
  <si>
    <t>Thôn Hố Dẻ</t>
  </si>
  <si>
    <t>Thôn Hồ Sơn 1</t>
  </si>
  <si>
    <t>Thôn Quất Sơn</t>
  </si>
  <si>
    <t>Bản Cây Thị</t>
  </si>
  <si>
    <t>Tổng cộng</t>
  </si>
  <si>
    <t>G</t>
  </si>
  <si>
    <t>Tổng số hộ nghèo</t>
  </si>
  <si>
    <t>(Kèm theo Báo cáo số         /BC-UBND ngày       /01/2021 của UBND tỉnh Bắc Giang)</t>
  </si>
  <si>
    <t>(Kèm theo Báo cáo số         /BC-UBND ngày         /01/2021 của UBND tỉnh Bắc Giang)</t>
  </si>
  <si>
    <t xml:space="preserve">              Biểu số 02</t>
  </si>
  <si>
    <t>Điểm xã ĐBKK</t>
  </si>
  <si>
    <t>Điểm Thôn ĐBKK</t>
  </si>
  <si>
    <t>Số thôn ĐBKK</t>
  </si>
  <si>
    <t>Điểm tỷ lệ hộ nghèo</t>
  </si>
  <si>
    <t>Tổng điểm</t>
  </si>
  <si>
    <t>Tổng vốn</t>
  </si>
  <si>
    <t>Vốn/Điểm</t>
  </si>
  <si>
    <t>TIÊU CHÍ PHÂN BỔ VỐN</t>
  </si>
  <si>
    <t>TT.Tây Yên Tử</t>
  </si>
  <si>
    <t>Dương Hưu</t>
  </si>
  <si>
    <t>Hữu Sản</t>
  </si>
  <si>
    <t>An Lạc</t>
  </si>
  <si>
    <t>Vân Sơn</t>
  </si>
  <si>
    <t>Lệ Viễn</t>
  </si>
  <si>
    <t>Vĩnh An</t>
  </si>
  <si>
    <t>An Bá</t>
  </si>
  <si>
    <t>Yên Định</t>
  </si>
  <si>
    <t>Cẩm Đàn</t>
  </si>
  <si>
    <t>Thanh Luận</t>
  </si>
  <si>
    <t xml:space="preserve">Đại Sơn </t>
  </si>
  <si>
    <t>Phúc Sơn</t>
  </si>
  <si>
    <t>Giáo Liêm</t>
  </si>
  <si>
    <t>Sa Lý</t>
  </si>
  <si>
    <t>Phong Minh</t>
  </si>
  <si>
    <t>Phong Vân</t>
  </si>
  <si>
    <t xml:space="preserve">Tân Sơn </t>
  </si>
  <si>
    <t>Cấm Sơn</t>
  </si>
  <si>
    <t>Hộ Đáp</t>
  </si>
  <si>
    <t>Sơn Hải</t>
  </si>
  <si>
    <t>Phú Nhuận</t>
  </si>
  <si>
    <t xml:space="preserve">Đèo Gia </t>
  </si>
  <si>
    <t>Bình Sơn</t>
  </si>
  <si>
    <t>Lục Sơn</t>
  </si>
  <si>
    <t>Trường Sơn</t>
  </si>
  <si>
    <t>Vô Tranh</t>
  </si>
  <si>
    <t>Thôn Cà Phê</t>
  </si>
  <si>
    <t>Thôn Đồng Tâm</t>
  </si>
  <si>
    <t>Vốn Hạ tầng</t>
  </si>
  <si>
    <t>Vốn PTSX</t>
  </si>
  <si>
    <t>PTSX</t>
  </si>
  <si>
    <t xml:space="preserve"> LỤC NGẠN</t>
  </si>
  <si>
    <t>SƠN ĐỘNG</t>
  </si>
  <si>
    <t>LẠNG GIANG</t>
  </si>
  <si>
    <t xml:space="preserve"> LỤC NAM</t>
  </si>
  <si>
    <t xml:space="preserve"> YÊN THẾ</t>
  </si>
  <si>
    <t>Điểm thôn tăng thêm</t>
  </si>
  <si>
    <t>Điểm thôn bình quân</t>
  </si>
  <si>
    <t>Duy tu</t>
  </si>
  <si>
    <t>Xã khu vực III</t>
  </si>
  <si>
    <t>Xã khu vực II</t>
  </si>
  <si>
    <t>Xã khu vực I</t>
  </si>
  <si>
    <t xml:space="preserve">Điểm xã </t>
  </si>
  <si>
    <t>Số điềm</t>
  </si>
  <si>
    <t>Tổng tiền</t>
  </si>
  <si>
    <t>Huyện điểm</t>
  </si>
  <si>
    <t>Người uy tín</t>
  </si>
  <si>
    <t>Tuyên truyền</t>
  </si>
  <si>
    <t>Huyện</t>
  </si>
  <si>
    <t>Số điểm</t>
  </si>
  <si>
    <t xml:space="preserve">                                                                                                                                                                                                                                                                                                                                                                                                                                                                                                                                                                                                                                                                                                                                                                                                                                                                                                                                                                                                                                                                                                                                                                                                                                                                                                                                                                                                                                                                                                                                                                                                                                                                                                                                                                                                                                                                                                                                                                                                                                                                                                                                                                                                                                                                                                                                                                                                                                                                                                                                                                                                                                                                                                                                                                                                                                                                                                                                                                                                                                                                                                                                                                                                                                                                                                                                                                                                                                                                                                                                                                                                                                                                                                                                                                                               </t>
  </si>
  <si>
    <t>Vốn</t>
  </si>
  <si>
    <t>TIÊU CHÍ PHÂN BỔ VỐN (HÀNG NĂM)</t>
  </si>
  <si>
    <t>Vốn năm</t>
  </si>
  <si>
    <t>Tổng GĐ</t>
  </si>
  <si>
    <t>Điểm</t>
  </si>
  <si>
    <t>Vốn Tuyên truyền</t>
  </si>
  <si>
    <t>Vốn GĐ</t>
  </si>
  <si>
    <t>Hội PN</t>
  </si>
  <si>
    <t>Các huyện</t>
  </si>
  <si>
    <t>Hằng năm</t>
  </si>
  <si>
    <t>Tổng</t>
  </si>
  <si>
    <t>TIÊU CHÍ PHÂN BỔ VỐN HÀNG NĂM</t>
  </si>
  <si>
    <t>TỔNG</t>
  </si>
  <si>
    <t>BDT</t>
  </si>
  <si>
    <t>vốn huyện/điểm</t>
  </si>
  <si>
    <t>Tổng vốn năm</t>
  </si>
  <si>
    <t>Tỷ lệ tảo hôn + 
Tỷ lệ hôn nhân cận huyết</t>
  </si>
  <si>
    <t>Mỗi mô hình được thực hiện</t>
  </si>
  <si>
    <t>Số lượng</t>
  </si>
  <si>
    <t>Vốn/điểm</t>
  </si>
  <si>
    <t>Ghi chú</t>
  </si>
  <si>
    <t xml:space="preserve">Vốn </t>
  </si>
  <si>
    <t>TÂN YÊN</t>
  </si>
  <si>
    <t>Đầu tư, phát triển các mô hình chăn nuôi gia súc, gia cầm</t>
  </si>
  <si>
    <t>Phát triển vùng trồng dược liệu quý</t>
  </si>
  <si>
    <t xml:space="preserve">Thúc đẩy khởi sự kinh doanh, khởi nghiệp </t>
  </si>
  <si>
    <t>Sở ngành</t>
  </si>
  <si>
    <t>huyện</t>
  </si>
  <si>
    <t>Điểm xã ĐBKK/vhuyện điểm</t>
  </si>
  <si>
    <t>Phân bổ cho các xã</t>
  </si>
  <si>
    <t>10% cho huyện</t>
  </si>
  <si>
    <t>Gđ</t>
  </si>
  <si>
    <t>Năm</t>
  </si>
  <si>
    <t>DỰ KIẾN PHÂN BỔ VỐN NGÂN SÁCH TRUNG ƯƠNG CHO CÁC CƠ QUAN, ĐƠN VỊ, ĐỊA PHƯƠNG</t>
  </si>
  <si>
    <t>Đơn vị: Triệu đồng</t>
  </si>
  <si>
    <t>Dự án</t>
  </si>
  <si>
    <t>NS Trung ương</t>
  </si>
  <si>
    <t>Phân bổ vốn Đầu tư</t>
  </si>
  <si>
    <t>Vốn Sự nghiệp</t>
  </si>
  <si>
    <t>Vốn
 đầu tư</t>
  </si>
  <si>
    <t>Sự 
nghiệp</t>
  </si>
  <si>
    <t>Cộng</t>
  </si>
  <si>
    <t>Sơn 
Động</t>
  </si>
  <si>
    <t>Lục 
Ngạn</t>
  </si>
  <si>
    <t>Lục 
Nam</t>
  </si>
  <si>
    <t>Yên
 Thế</t>
  </si>
  <si>
    <t>Lạng 
Giang</t>
  </si>
  <si>
    <t>Sở Nông 
nghiệp</t>
  </si>
  <si>
    <t>Sở 
Lao Động</t>
  </si>
  <si>
    <t>Sở 
Văn hóa</t>
  </si>
  <si>
    <t>Sở 
Y Tế</t>
  </si>
  <si>
    <t>Dự án 1</t>
  </si>
  <si>
    <t>Đất ở</t>
  </si>
  <si>
    <t>Nhà ở</t>
  </si>
  <si>
    <t>Đất sản xuất</t>
  </si>
  <si>
    <t>Chuyển đổi nghề</t>
  </si>
  <si>
    <t>Nước sinh hoạt</t>
  </si>
  <si>
    <t>Phân tán</t>
  </si>
  <si>
    <t>Tập trung</t>
  </si>
  <si>
    <t>Dự án 2</t>
  </si>
  <si>
    <t>Dự án 3</t>
  </si>
  <si>
    <t>3.1</t>
  </si>
  <si>
    <t>Tiểu dự  án 1</t>
  </si>
  <si>
    <t>3.2</t>
  </si>
  <si>
    <t>Tiểu dự  án 2</t>
  </si>
  <si>
    <t>Tiểu dự  án 3</t>
  </si>
  <si>
    <t>Dự án 4</t>
  </si>
  <si>
    <t>Đầu tư cơ sở hạ tầng thiết yếu</t>
  </si>
  <si>
    <t>Đầu tư CSHT</t>
  </si>
  <si>
    <t>Cứng hóa</t>
  </si>
  <si>
    <t>Xây dựng, cải tạo nâng cấp mạng lưới chợ</t>
  </si>
  <si>
    <t>Dự án 5</t>
  </si>
  <si>
    <t>5.1</t>
  </si>
  <si>
    <t>5.2</t>
  </si>
  <si>
    <t>5.3</t>
  </si>
  <si>
    <t>Dự án 6</t>
  </si>
  <si>
    <t>Dự án 7</t>
  </si>
  <si>
    <t>Dự án 8</t>
  </si>
  <si>
    <t>Dự án 9</t>
  </si>
  <si>
    <t xml:space="preserve">Giảm thiểu tình trạng tảo hôn và hôn nhân cận huyết thống </t>
  </si>
  <si>
    <t>Dự án 10</t>
  </si>
  <si>
    <t>10.1</t>
  </si>
  <si>
    <t>Tiểu Dự án 2: Ứng dụng CNTT</t>
  </si>
  <si>
    <t xml:space="preserve">Các sở , ngành </t>
  </si>
  <si>
    <t>Đầu tư, phát triển các mô hình chăn nuôi gia súc, gia cầm; Thúc đẩy khởi sự kinh doanh, khởi nghiệp</t>
  </si>
  <si>
    <t>Số km</t>
  </si>
  <si>
    <t>Điểm TC</t>
  </si>
  <si>
    <t>Điểm TT</t>
  </si>
  <si>
    <t>Xây mới</t>
  </si>
  <si>
    <t>Trạm y tế</t>
  </si>
  <si>
    <t xml:space="preserve">Cải tạo </t>
  </si>
  <si>
    <t>Huyện Sơn Động</t>
  </si>
  <si>
    <t>Huyện Lục Ngạn</t>
  </si>
  <si>
    <t>Huyện Lục Nam</t>
  </si>
  <si>
    <t>Huyện Yên Thế</t>
  </si>
  <si>
    <t>Tiểu dự án 4</t>
  </si>
  <si>
    <t>Số 
lượng</t>
  </si>
  <si>
    <t>Điểm
 TC</t>
  </si>
  <si>
    <t>Điểm 
TT</t>
  </si>
  <si>
    <t>Huyện Lạng Giang</t>
  </si>
  <si>
    <t>Cứng hóa đường giao thông
(1)</t>
  </si>
  <si>
    <t>Chợ
(2)</t>
  </si>
  <si>
    <t>Trạm y tế
(3)</t>
  </si>
  <si>
    <t>Vốn
 1+2+3</t>
  </si>
  <si>
    <t>Xã ĐBKK
(4)</t>
  </si>
  <si>
    <t>Thôn ĐBKK
(5)</t>
  </si>
  <si>
    <t>Tổng
 điểm
 1+2+3</t>
  </si>
  <si>
    <t>GĐ</t>
  </si>
  <si>
    <t>vốn</t>
  </si>
  <si>
    <t>vốn/điểm</t>
  </si>
  <si>
    <t>Tỷ lệ</t>
  </si>
  <si>
    <t xml:space="preserve">điểm
TC </t>
  </si>
  <si>
    <t>Nghèo
(6)</t>
  </si>
  <si>
    <t>Điểm 
4+5+6</t>
  </si>
  <si>
    <t>TIÊU CHÍ PHÂN BỔ VỐN HÀNG NĂM NGUỒN ĐẦU TƯ</t>
  </si>
  <si>
    <t>Trang thiết bị y tế
(3)</t>
  </si>
  <si>
    <t>Tổng
 điểm
 3</t>
  </si>
  <si>
    <t>Vốn
3</t>
  </si>
  <si>
    <t>Hạ tầng</t>
  </si>
  <si>
    <t>Mua sắm trang thiết bị y tế</t>
  </si>
  <si>
    <t xml:space="preserve">Tổng vốn </t>
  </si>
  <si>
    <t>Dược liệu</t>
  </si>
  <si>
    <t>Đầu tư</t>
  </si>
  <si>
    <t>Sự nghiệp</t>
  </si>
  <si>
    <t>Công trình</t>
  </si>
  <si>
    <t>Số hộ</t>
  </si>
  <si>
    <t>Nước sinh hoạt tập trung
(4)</t>
  </si>
  <si>
    <t>Hỗ trợ đất sản xuất
(3)</t>
  </si>
  <si>
    <t>Hỗ trợ nhà ở
(2)</t>
  </si>
  <si>
    <t>Hỗ trợ đất ở
(1)</t>
  </si>
  <si>
    <t xml:space="preserve">Tổng
 điểm
 </t>
  </si>
  <si>
    <t xml:space="preserve">Tổng Vốn
</t>
  </si>
  <si>
    <t>Hỗ trợ chuyển đổi nghề (1)</t>
  </si>
  <si>
    <t>Hỗ trợ NSH phân tán
(2)</t>
  </si>
  <si>
    <t>Tổng
 điểm
1+2</t>
  </si>
  <si>
    <t>TIÊU CHÍ PHÂN BỔ VỐN HÀNG NĂM NGUỒN SỰ NGHIỆP</t>
  </si>
  <si>
    <t>Phòng công vụ giáo viên</t>
  </si>
  <si>
    <t>phòng ở cho HS</t>
  </si>
  <si>
    <t xml:space="preserve">Phòng QLHS </t>
  </si>
  <si>
    <t>Nhà ăn, nhà bếp</t>
  </si>
  <si>
    <t>Nhà kho</t>
  </si>
  <si>
    <t>CTVS, nước sạch</t>
  </si>
  <si>
    <t>Nhà SHCĐ</t>
  </si>
  <si>
    <t>Phòng học</t>
  </si>
  <si>
    <t>CT phụ trợ khác</t>
  </si>
  <si>
    <t>BQLDA Đầu tư XD các công trình dân dụng và CN; các ngành</t>
  </si>
  <si>
    <t>Sở 
Giáo
 dục</t>
  </si>
  <si>
    <t>Kèm theo Tờ trình số          /TTr-UBND ngày       tháng         năm 2022 của UBND tỉnh</t>
  </si>
  <si>
    <t>Cơ sở phân bổ</t>
  </si>
  <si>
    <t>Áp dụng theo tiêu chí quy định tại phụ lục I, Quyết định số 39/2021/QĐ-TTg của Thủ tướng Chính phủ, do trung ương quy định mức hỗ trợ cho từng nội dung: hỗ trợ đất ở, hỗ trợ nhà ở, hỗ trợ đất sản xuất, hỗ trợ công trình nước sinh hoạt tập trung,  hỗ trợ hộ chuyển đổi nghề, hỗ trợ nước sinh hoạt phân tán. Việc phân bổ vốn của tỉnh căn cứ số đối tượng thụ hưởng được các huyện rà soát, xác định, khả năng bố trí vốn từ ngân sách trung ương.</t>
  </si>
  <si>
    <t>Dự án 3: Phát triển sản xuất nông, lâm nghiệp bền vững, phát huy tiềm năng, thế mạnh của các vùng miền để sản xuất hàng hóa theo chuỗi giá trị</t>
  </si>
  <si>
    <t>Dự án 4: Đầu tư cơ sở hạ tầng thiết yếu, phục vụ sản xuất, đời sống trong vùng đồng bào dân tộc thiểu số và miền núi và các đơn vị sự nghiệp công của lĩnh vực dân tộc</t>
  </si>
  <si>
    <t>Tiểu dự án 1: Phát triển kinh tế nông, lâm nghiệp bền vững gắn với bảo vệ rừng và nâng cao thu nhập cho người dân</t>
  </si>
  <si>
    <t>* Phân bổ vốn đầu tư: Phân bổ vốn 100% vốn đầu tư phát triển cho huyện Sơn Động để thực hiện dự án trồng dược liệu quý, do dự án chỉ thực hiện trên địa bàn huyện nghèo theo Nghị quyết 30a của Chính phủ. 
* Phân bổ vốn sự nghiệp: 
Phân bổ vốn cho sở, ngành tỉnh: Không quá 20 % tổng vốn để thực hiện các dự án phát triển sản xuất theo chuỗi giá trị, dự án liên kết hoặc kế hoạch đề nghị liên kết triển khai trên địa bàn từ 02 huyện trở lên, xây dựng mô hình thúc đẩy khởi sự kinh doanh, khởi nghiệp và thu hút đầu tư vùng đồng bào dân tộc thiểu số và miền núi. UBND tỉnh đề xuất không phân bổ vốn cho từng cơ quan theo số tuyệt đối, mà phân bổ dựa trên danh mục các dự án, nội dung hoạt động của tiểu dự án mang tính khả thi.- Phân bổ 100% vốn dự án trồng dược liệu quý cho huyện Sơn Động, do dự án chỉ thực hiện trên địa bàn huyện nghèo theo Nghị quyết 30a của Chính phủ. 
 Phân bổ cho các huyện, xã: Áp dụng phương pháp tính điểm theo các tiêu chí để thực hiện nguyên tắc không bình quân chia đều, ưu tiên địa bàn khó khăn nhất. Với cách tính này, xã ĐBKK có số vốn cao nhất khoảng 485 triệu đồng/xã/năm, xã có vốn thấp nhất khoảng 448 triệu đồng/xã/năm; thôn ĐBKK thuộc các xã khu vực I, II có số vốn cao nhất 76 triệu đồng, thôn có số vốn thấp nhất 71 triệu đồng</t>
  </si>
  <si>
    <t>Dự án 1: Giải quyết tình
 trạng thiếu đất ở, nhà ở, đất sản xuất, nước sinh hoạt</t>
  </si>
  <si>
    <t>Dự án 2: Quy hoạch, sắp
 xếp, bố trí, ổn định dân cư ở những nơi cần thiết</t>
  </si>
  <si>
    <t>Tiểu Dự án 1: Đầu tư cơ sở hạ tầng thiết yếu, phục vụ sản xuất, đời sống trong vùng đồng bào dân tộc thiểu số và miền núi</t>
  </si>
  <si>
    <t xml:space="preserve">Do Ủy ban Dân tộc, Bộ Giáo dục và Đào tạo tổ chức thực hiện; Ủy ban nhân dân tỉnh không thực hiện </t>
  </si>
  <si>
    <t>Dự án 5: Phát triển giáo dục đào tạo nâng cao chất lượng nguồn nhân lực</t>
  </si>
  <si>
    <t>Tiểu dự án 1: Đổi mới hoạt động, củng cố phát triển các trường phổ thông dân tộc nội trú, trường phổ thông dân tộc bán trú, trường phổ thông có học sinh ở bán trú và xóa mù chữ cho người dân vùng đồng bào dân tộc thiểu số</t>
  </si>
  <si>
    <t>Tiểu dự án 2: Bồi dưỡng kiến thức dân tộc; đào tạo dự bị đại học, đại học và sau đại học đáp ứng nhu cầu nhân lực cho vùng đồng bào dân tộc thiểu số và miền núi.</t>
  </si>
  <si>
    <t>Phân bổ vốn cho Ban Dân tộc 100% vốn để thực hiện nội dung bồi dưỡng kiến thức dân tộc, tiếng dân
 tộc cho cán bộ, công chức, viên chức nhóm đối tượng 2,3,4; lực lượng công an, quân đội công tác, đóng quân trên địa bàn vùng đồng bào DTTS và MN theo Quyết định số 771/QĐ-TTg  ngày 26/6/2018 của Thủ tướng Chính phủ. Mặt khác, do các huyện chưa có cơ sở giáo dục đủ điều kiện cấp chứng chỉ bồi dưỡng kiến thức dân tộc, tiếng dân tộc, số xã vùng dân tộc thiểu số và miền núi không nhiều (huyện Lạng Giang chỉ có 03 xã), nên không đảm bảo số lượng để tổ chức các lớp bồi dưỡng.</t>
  </si>
  <si>
    <t>Tiểu dự án 3: Dự án phát triển giáo dục nghề nghiệp và giải quyết việc làm cho người lao động vùng dân tộc thiểu số và miền núi.</t>
  </si>
  <si>
    <t>Tiểu dự án 4: Đào tạo nâng cao năng lực cho cộng đồng và cán bộ triển khai Chương trình ở các cấp.</t>
  </si>
  <si>
    <t>Phân bổ vốn sự nghiệp cho Ban Dân tộc: 100%  vốn để thực hiện tiểu dự án theo Thông tư hướng dẫn của Ủy ban Dân tộc (giai đoạn 2011-2015, 2016-2020 đều giao cơ quan công tác dân tộc cấp tỉnh làm chủ đầu tư).</t>
  </si>
  <si>
    <t>Dự án 6: Bảo tồn, phát huy giá trị văn hóa truyền thống tốt đẹp của các dân tộc thiểu số gắn với phát triển du lịch.</t>
  </si>
  <si>
    <t>Dự án 7: Chăm sóc sức khỏe nhân dân, nâng cao thể trạng, tầm vóc người dân tộc thiểu số; phòng chống suy dinh dưỡng trẻ em.</t>
  </si>
  <si>
    <t>* Phân bổ vốn đầu tư: Phân bổ 100% vốn cho ban quản lý dự án đầu tư xây dựng công trình dân dụng và công nghiệp tỉnh để đầu tư xây dựng, sửa chữa, cải tạo trung tâm y tế huyện Sơn Động.
* Phân bổ vốn sự nghiệp: Phân bổ 100% vốn sự nghiệp của tiểu dự án cho các huyện theo tiêu chí. Vì ngân sách tỉnh đã bố trí hàng năm cho ngành y tế triển khai thực hiện đào tạo, phát triển nhân lực y tế cho huyện nghèo và cận nghèo vùng khó khăn; hỗ trợ chuyển giao kỹ thuật về trạm y tế xã; đào tạo y học gia đình cho nhân viên trạm y tế các xã.</t>
  </si>
  <si>
    <t>Dự án 8: Thực hiện bình đẳng giới và giải quyết những vấn đề cấp thiết đối với phụ nữ và trẻ em.</t>
  </si>
  <si>
    <t>* Phân bổ vốn sự nghiệp cho Hội liên hiệp phụ nữ tỉnh: Không quá 30% tổng vốn để thực hiện các nội dung: tổ chức các lớp tập huấn cho cán bộ tỉnh, huyện, xã; cung cấp các trang thiết bị để làm việc, tuyên truyền cho thôn bản, xã, huyện vùng DTTS khó khăn; xây dựng chương trình truyền hình về đồng bào DTTS phát trên hệ thống phát thanh, truyền hình của tỉnh; tổ chức tập huấn và thăm quan học tập kinh nghiệm cho cán bộ nữ quy hoạch lãnh đạo cấp huyện, xã; tổ chức liên hoan cấp tỉnh và các hoạt động đánh giá, sơ kết, tổng kết tại tỉnh. 
* Phân bổ vốn cho các huyện phần còn lại theo tiêu chí để thực hiện các nội dung: xây dựng và nhân rộng các mô hình thay đổi “nếp nghĩ, cách làm” nâng cao quyền năng kinh tế cho phụ nữ; thúc đẩy bình đẳng giới và giải quyết những vấn đề cấp thiết của phụ nữ và trẻ em; xây dựng và hỗ trợ hoạt động cho các tổ, mô hình truyền thông cộng đồng, mạng lưới truyền thông, câu lạc bộ thủ lĩnh cho sự thay đổi; tổ chức các lớp tập huấn cho các tổ, nhóm, câu lạc bộ, mô hình, cán bộ xã, cán bộ thôn/bản; tổ chức đối thoại chính sách ở cấp xã và cụm thôn bản ĐBKK; hỗ trợ các hoạt động tuyên truyền, vận động, hoạt động tiền đối thoại, hỗ trợ phụ nữ vùng DTTS bị buôn bán trở về, có hoàn cảnh khó khăn; tổ chức liên hoan cấp cơ sở và các hoạt động đánh giá, sơ kết, tổng kết tại huyện, xã…</t>
  </si>
  <si>
    <t>Dự án 9: Đầu tư 
phát triển nhóm dân tộc thiểu số rất ít người và nhóm dân tộc còn nhiều khó khăn</t>
  </si>
  <si>
    <t xml:space="preserve">Tiểu dự án 1: Đầu tư tạo sinh kế bền vững, phát triển kinh tế-xã hội nhóm dân tộc thiểu số còn nhiều khó khăn, có khó khăn đặc thù </t>
  </si>
  <si>
    <t>tỉnh Bắc Giang không có đối tượng</t>
  </si>
  <si>
    <t>Tiểu Dự án 2: Giảm thiểu tình trạng tảo hôn và hôn nhân cận huyết thống trong vùng đồng bào dân tộc thiểu số và miền núi.</t>
  </si>
  <si>
    <t>* Phân bổ vốn sự nghiệp cho Ban Dân tộc: Không quá 50% tổng vốn để thực hiện 03 nội dung: i-Công tác truyền thông: Biên soạn tài liệu, tập huấn về kiến thức, kỹ năng truyền thông, vận động, tư vấn pháp luật liên quan về hôn nhân và gia đình; Tổ chức các hội nghị lồng ghép, hội thảo, tọa đàm, giao lưu văn hóa nhằm tuyên truyền hạn chế tình trạng tảo hôn và hôn nhân cận huyết thống của các dân tộc còn gặp nhiều khó khăn, dân tộc có khó khăn đặc thù và trong vùng đồng bào dân tộc thiểu số và miền núi;Tổ chức các hội t hi tìm hiểu về pháp luật về hôn nhân, về kết hôn tảo hôn và hôn nhân cận huyết thống;ii- Bồi dưỡng nâng cao năng lực về chuyên môn, nghiệp vụ cho cán bộ, công chức làm công tác dân tộc tham gia thực hiện Dự án;iii- Kiểm tra, đánh giá, sơ kết, tổng kết việc thực hiện tiểu dự án.
 * Phân bổ vốn cho các huyện thực hiện các nội dung:i-Tăng cường các hoạt động tư vấn, can thiệp lồng ghép với các chương trình, dự án, mô hình chăm sóc sức khỏa sinh sản, sức khỏe bà mẹ, trẻ em, dân số kế hoạch hóa gia đình, dinh dưỡng, phát triển thể chất có liên quan trong lĩnh vực hôn nhân nhằm giảm thiểu tình trạng tảo hôn và hôn nhân cận huyết thống;ii- Duy trì và triển khai mô hình tại xã/huyện/trường có tỷ lệ tảo hôn và hôn nhân cận huyết thống cao; nhân rộng các mô hình phù hợp nhằm thay đổi hành vi, khả năng tiếp cận thông tin và huy động sự tham gia của cộng đồng thực hiện ngăn ngừa, giảm thiểu tảo hôn và hôn nhân cận huyết thống.</t>
  </si>
  <si>
    <t>Dự án  10: Truyền thông, tuyên truyền, vận động trong vùng đồng bào dân tộc thiểu số và miền núi. Kiểm tra, giám sát đánh giá việc tổ chức thực hiện Chương trình</t>
  </si>
  <si>
    <t>Tiểu dự án 1: Biểu dương, tôn vinh điển hình tiên tiến, phát huy vai trò của người có uy tín; phổ biến, giáo dục pháp luật và tuyên truyền, vận động đồng bào; truyền thông phục vụ tổ chức triển khai thực hiện Đề án Tổng thể và Chương trình mục tiêu quốc gia.</t>
  </si>
  <si>
    <t xml:space="preserve">* Phân bổ vốn cho sở, ngành tỉnh: Không quá 80% tổng vốn để thực hiện các nội dung: (1) Thực hiện chế độ, chính sách đối với người có uy tín trong đồng bào dân tộc thiểu số theo Quyết định số 12/2018/QĐ-TTg, ngày 06/3/2018 của Thủ tướng Chính phủ về tiêu chí lựa chọn, công nhận người có uy tín và chính sách đối với người có uy tín trong đồng bào dân tộc thiểu số; biểu dương, tôn vinh điển hình tiên tiến trong vùng đồng bào dân tộc thiểu số và miền núi; công tác tuyên truyền, vận động, phổ biến giáo dục pháp luật cho vùng đồng bào dân tộc thiểu số; chuyên trang, chuyên mục mang tính chuyên sâu về vùng DTTS&amp;MN (Ban Dân tộc thực hiện). (2) Tăng cường, nâng cao khả năng tiếp cận và thụ hưởng hoạt động trợ giúp pháp lý chất lượng cho vùng đồng bào dân tộc thiểu số và miền núi (Sở Tư pháp thực hiện). UBND tỉnh đề xuất không phân bổ vốn cho từng cơ quan theo số tuyệt đối, mà phân bổ dựa trên các nội dung, hoạt động của tiểu dự án,  căn cứ khả năng cân đối, bố trí vốn từ ngân sách trung ương. 
* Phân bổ cho các huyện phần còn lại để thực hiện chế độ, chính sách đối với người có uy tín; Biểu dương, tôn vinh điển hình tiên tiến; tuyên truyền, vận động trong vùng đồng bào dân tộc thiểu số. </t>
  </si>
  <si>
    <t>Tiểu dự án 2: Ứng 
dụng công nghệ thông tin hỗ trợ phát triển kinh tế - xã hội và đảm bảo an ninh trật tự vùng đồng bào dân tộc thiểu số và miền núi.</t>
  </si>
  <si>
    <t xml:space="preserve">* Phân bổ vốn đầu tư: Phân bổ cho sở, ngành tỉnh: 100% để thực hiện các nội dung: i- Xây dựng phòng họp trực tuyến; Chuyển đổi số trong tổ chức triển khai thực hiện Chương trình Mục tiêu quốc gia phát triển kinh tế - xã hội vùng đồng bào dân tộc thiểu số và miền núi giai đoạn 2021 - 2030 (Ban Dân tộc thực hiện);ii- Hỗ trợ xây dựng và duy trì chợ sản phẩm trực tuyến vùng dân tộc thiểu số và miền núi (Liên Minh HTX thực hiện);iii- Hỗ trợ thiết lập các điểm hỗ trợ đồng bào dân tộc thiểu số ứng dụng công nghệ thông tin tại UBND cấp xã để phục vụ phát triển kinh tế - xã hội và đảm bảo an ninh trật tự (Sở Thông tin Truyền thông thực hiện). UBND tỉnh đề xuất phân bổ vốn cho các sở, ngành tỉnh 100% vốn để triển khai thực hiện đồng bộ các nội dung của Chương trình trên địa bản tỉnh;  không phân bổ cho các cơ quan theo số tuyệt đối, điều hành linh hoạt các nội dung, hoạt động theo hướng dẫn của bộ, ngành trung ương. 
* Phân bổ vốn sự nghiệp: Phân bổ vốn cho sở, ngành: 100% vốn để triển khai thực hiện các nội dung tiểu dự án; không phân bổ theo số tuyệt đối, điều hành linh hoạt các nội dung, hoạt động theo hướng dẫn của bộ, ngành trung ương, hoàn thành các nội dung, nhiệm vụ của Chương trình. </t>
  </si>
  <si>
    <t>Tiểu dự án 3: Kiểm tra, giám sát, đánh giá, đào tạo, tập huấn tổ chức thực hiện Chương trình</t>
  </si>
  <si>
    <r>
      <t>Áp dụng theo tiêu chí quy định tại phụ lục II, Quyết định số 39/2021/QĐ-TTg của Thủ tướng Chính phủ do trung ương quy định mức hỗ trợ cho từng nội dung:</t>
    </r>
    <r>
      <rPr>
        <sz val="12"/>
        <rFont val="Times New Roman"/>
        <family val="1"/>
      </rPr>
      <t xml:space="preserve"> đối với dự án di dân tập trung và ổn định tại chỗ, dối với dự án xen ghép. V</t>
    </r>
    <r>
      <rPr>
        <sz val="12"/>
        <color indexed="8"/>
        <rFont val="Times New Roman"/>
        <family val="1"/>
      </rPr>
      <t xml:space="preserve">iệc phân bổ vốn của tỉnh căn cứ số đối tượng thụ hưởng của các huyện, các </t>
    </r>
    <r>
      <rPr>
        <sz val="12"/>
        <rFont val="Times New Roman"/>
        <family val="1"/>
      </rPr>
      <t>dự án di dân tập trung và ổn định dân cư tại chỗ được cấp thẩm quyền phê duyệt và</t>
    </r>
    <r>
      <rPr>
        <sz val="12"/>
        <color indexed="8"/>
        <rFont val="Times New Roman"/>
        <family val="1"/>
      </rPr>
      <t xml:space="preserve"> khả năng bố trí vốn từ ngân sách trung ương.</t>
    </r>
  </si>
  <si>
    <r>
      <t xml:space="preserve">Áp dụng theo tiêu chí quy định tại Quyết định số 39/2021/QĐ-TTg của Thủ tướng Chính phủ do trung ương đã quy định mức hỗ trợ cho từng nội dung: </t>
    </r>
    <r>
      <rPr>
        <sz val="12"/>
        <rFont val="Times New Roman"/>
        <family val="1"/>
      </rPr>
      <t>Hỗ trợ khoán bảo vệ rừng đối với rừng phòng hộ, rừng đặc dụng; Hỗ trợ bảo vệ rừng quy hoạch rừng phòng hộ và rừng sản xuất là rừng tự nhiên đã giao cho cộng đồng, hộ gia đình; Hỗ trợ trồng rừng sản xuất, khai thác kinh tế dưới tán rừng và phát triển lâm sản ngoài gỗ đối với diện tích đất được quy hoạch phát triển rừng sản xuất đã giao ổn định, lâu dài cho hộ gia đình được hỗ trợ một lần cho chu kỳ đầu tiên để trồng rừng sản xuất bằng loài cây lấy gỗ, cây lâm sản ngoài gỗ; Trồng rừng phòng hộ đối với diện tích đất được quy hoạch trồng rừng phòng hộ đã giao cho hộ gia đình.</t>
    </r>
    <r>
      <rPr>
        <sz val="12"/>
        <color indexed="8"/>
        <rFont val="Times New Roman"/>
        <family val="1"/>
      </rPr>
      <t xml:space="preserve"> Việc phân bổ vốn của tỉnh căn cứ số đối tượng thụ hưởng, khả năng bố trí vốn từ ngân sách trung ương.</t>
    </r>
  </si>
  <si>
    <r>
      <t xml:space="preserve">* Phân bổ vốn đầu tư: 
+ Phân bổ vốn cho các huyện: Áp dụng tiêu chí và phương pháp tính điểm theo quy định tại Quyết định số 39/2021/QĐ-TTg của Thủ tướng Chính phủ, do trung ương đã quy định mức hỗ trợ: cứng hóa đường đến trung tâm xã 1600 triệu đồng/km; đầu tư xây dựng mới trạm y tế xã 4000 triệu đồng/trạm, cải tạo nâng cấp trạm y tế 800 triệu đồng/trạm; đầu tư xây dựng mới 4.400 triệu đồng/chợ, cải tạo nâng cấp 800 triệu đồng/chợ. </t>
    </r>
    <r>
      <rPr>
        <sz val="12"/>
        <color indexed="8"/>
        <rFont val="Times New Roman"/>
        <family val="1"/>
      </rPr>
      <t>Do vậy, việc phân bổ vốn của tỉnh căn cứ số đối tượng, mức vốn phân bổ từ ngân sách trung ương, phần còn thiếu theo dự toán được duyệt do ngân sách địa phương bố trí.</t>
    </r>
    <r>
      <rPr>
        <sz val="12"/>
        <rFont val="Times New Roman"/>
        <family val="1"/>
      </rPr>
      <t xml:space="preserve"> 
+ </t>
    </r>
    <r>
      <rPr>
        <sz val="12"/>
        <color indexed="10"/>
        <rFont val="Times New Roman"/>
        <family val="1"/>
      </rPr>
      <t xml:space="preserve">Phân bổ </t>
    </r>
    <r>
      <rPr>
        <sz val="12"/>
        <rFont val="Times New Roman"/>
        <family val="1"/>
      </rPr>
      <t>vốn đầu tư cơ sở hạ tầng cho các xã ĐBKK, xã có thôn ĐBKK theo tiêu chí để thực hiện nguyên tắc không bình quân chia đều, ưu tiên địa bàn khó khăn hơn.  Với cách tính này, đối với xã ĐBKK có số vốn cao nhất là 1.892 triệu đồng/xã/năm, xã có vốn thấp nhất khoảng 1.773 triệu đồng/xã/năm; đối với thôn ĐBKK thuộc các xã khu vực I, II: thôn có số vốn nhiều nhất là 273 triệu đồng/thôn/năm, thôn có số vốn ít nhất là 260 triệu đồng/thôn/năm. Phân bổ 90% cho các xã ĐBKK, xã có thôn ĐBKK theo tiêu chí trên, số vốn còn lại (10%) của huyện phân bổ để đầu tư các công trình hạ tầng liên xã, công trình có tác động lan tỏa, thúc đẩy phát triển kinh tế - xã hội; ưu tiên đầu tư công trình giao thông có tính kết nối liên vùng, công trình thủy lợi để phục vụ sản xuất và xử lý những vấn đề vướng mắc, phát sinh trong đầu tư xây dựng. 
* Phân bổ vốn sự nghiệp: Phân bổ vốn hỗ trợ trang thiết bị cho mỗi trạm y tế xây dựng mới và cải tạo: Thực hiện theo quy định tại Điểm b Tiểu mục 1.2 Mục 1 Phụ lục IV, Quyết định số 39/2021/QĐ-TTg (số lượng các trạm y tế xây mới và cải tạo được trung ương phân bổ thực tế). Phần vốn còn lại áp dụng phương pháp tính điểm theo các tiêu chí để thực hiện duy tu bảo dưỡng công trình cơ sở hạ tầng trên địa bàn đặc biệt khó khăn (xã ĐBKK, thôn ĐBKK không thuộc xã khu vực III) và công trình cơ sở hạ tầng các xã, thôn đã đầu tư từ giai đoạn trước.</t>
    </r>
  </si>
  <si>
    <r>
      <t xml:space="preserve">* Phân bổ vốn đầu tư: Phân bổ không quá 30% tổng vốn cho Ban quản lý dự án đầu tư xây dựng công trình dân dụng và công nghiệp tỉnh làm chủ đầu tư xây dựng các trường phổ thông dân tộc nội trú do cấp tỉnh quản lý, gồm: trường phổ thông dân tộc nội trú tỉnh, phổ thông dân tộc nội trú Sơn Động, phổ thông dân tộc nội trú Lục Ngạn. Số vốn còn lại phân bổ cho các huyện, Áp dụng tiêu chí và phương pháp tính điểm theo quy định tại Quyết định số 39/QĐ-TTg của Thủ tướng Chính phủ để đầu tư xây dựng các trường nội trú, phổ thông dân tộc bán trú&amp;THCS do cấp huyện quản lý. 
* Phân bổ vốn sự nghiệp: 
 + Phân bổ vốn cho sở, ngành tỉnh: Phân bổ vốn cho Sở Giáo dục và Đào tạo để thực hiện nội dung mua sắm trang thiết bị phục vụ chuyển đổi số giáo dục phục vụ việc giảng dạy và học tập  </t>
    </r>
    <r>
      <rPr>
        <i/>
        <sz val="12"/>
        <rFont val="Times New Roman"/>
        <family val="1"/>
      </rPr>
      <t>(Nội dung 4 khoản b, tiểu mục 1.2, mục 1, Tiểu dự án 1, Phụ lục V, Quyết định số 39/2021/QĐ-TTg).</t>
    </r>
    <r>
      <rPr>
        <sz val="12"/>
        <rFont val="Times New Roman"/>
        <family val="1"/>
      </rPr>
      <t xml:space="preserve"> 
</t>
    </r>
    <r>
      <rPr>
        <sz val="12"/>
        <color indexed="10"/>
        <rFont val="Times New Roman"/>
        <family val="1"/>
      </rPr>
      <t xml:space="preserve"> + Phân bổ vốn cho các huyện: </t>
    </r>
    <r>
      <rPr>
        <sz val="12"/>
        <rFont val="Times New Roman"/>
        <family val="1"/>
      </rPr>
      <t xml:space="preserve">Thực hiện theo quy định tại Phụ lục V, Quyết định số 39/2021/QĐ-TTg để thực hiện nội dung xóa mù chữ </t>
    </r>
    <r>
      <rPr>
        <i/>
        <sz val="12"/>
        <rFont val="Times New Roman"/>
        <family val="1"/>
      </rPr>
      <t>(Nội dung 1,2 và 3 khoản b, tiểu mục 1.2, mục 1, Tiểu dự án 1, Phụ lục V, Quyết định số 39/2021/QĐ-TTg).</t>
    </r>
    <r>
      <rPr>
        <sz val="12"/>
        <rFont val="Times New Roman"/>
        <family val="1"/>
      </rPr>
      <t xml:space="preserve"> </t>
    </r>
  </si>
  <si>
    <r>
      <t xml:space="preserve"> Áp dụng tiêu chí và phương pháp tính điểm theo quy định tại Quyết định số 39/2021/QĐ-TTg của Thủ tướng Chính phủ là phù hợp. V</t>
    </r>
    <r>
      <rPr>
        <sz val="12"/>
        <color indexed="8"/>
        <rFont val="Times New Roman"/>
        <family val="1"/>
      </rPr>
      <t>iệc phân bổ vốn của tỉnh căn cứ số đối tượng, khả năng bố trí vốn từ ngân sách trung ương.</t>
    </r>
  </si>
  <si>
    <r>
      <rPr>
        <sz val="12"/>
        <rFont val="Times New Roman"/>
        <family val="1"/>
      </rPr>
      <t>*Phân bổ vốn đầu tư:</t>
    </r>
    <r>
      <rPr>
        <i/>
        <sz val="12"/>
        <rFont val="Times New Roman"/>
        <family val="1"/>
      </rPr>
      <t xml:space="preserve"> 
</t>
    </r>
    <r>
      <rPr>
        <sz val="12"/>
        <rFont val="Times New Roman"/>
        <family val="1"/>
      </rPr>
      <t xml:space="preserve">+ Phân bổ cho các sở, ngành tỉnh: Không. 
+ Phân bổ vốn cho các huyện: Áp dụng tiêu chí và phương pháp tính điểm theo quy định tại Quyết định số 39/2021/QĐ-TTg của Thủ tướng Chính phủ là phù hợp quy định tại khoản 3, Điều 7 Luật sửa đổi, bổ sung một số điều của Luật Xây dựng số 62/2020/QH14 ngày 07/6/2020 của Quốc hội. Phân bổ cho UBND cấp huyện, cấp xã làm chủ đầu tư để thực hiện các nội dung sử dụng nguồn vốn đầu tư phát triển.
 * Phân bổ vốn sự nghiệp: 
 + Phân bổ vốn cho sở, ngành tỉnh: Phân bổ vốn cho Sở Văn hóa, Thể thao và Du lịch thực hiện các nội dung: Khảo sát, kiểm kê, sưu tầm, tư liệu hóa di sản văn hóa truyền thống của đồng bào dân tộc thiểu số; Hỗ trợ nghệ nhân nhân dân, nghệ nhân ưu tú người dân tộc thiểu số trong việc lưu truyền, phổ biến hình thức sinh hoạt văn hóa truyền thống và đào tạo, bồi dưỡng những người kế cận; Xây dựng nội dung, xuất bản ấn phẩm sách, đĩa, phim tư liệu về văn hóa truyền thống của đồng bào dân tộc thiểu số; Tổ chức Ngày hội, Giao lưu, Liên hoan về các loại hình văn hóa, nghệ thuật truyền thống của đồng bào dân tộc thiểu số. ( </t>
    </r>
    <r>
      <rPr>
        <i/>
        <sz val="12"/>
        <rFont val="Times New Roman"/>
        <family val="1"/>
      </rPr>
      <t>Nội dung 2, 4, 7, 8 điểm b mục 2 Phụ lục VI, Quyết định số 39/2021/QĐ-TTg).</t>
    </r>
    <r>
      <rPr>
        <sz val="12"/>
        <rFont val="Times New Roman"/>
        <family val="1"/>
      </rPr>
      <t xml:space="preserve">    
 + Phân bổ vốn cho các huyện thực hiện các nội dung: Tổ chức bảo tồn các loại hình văn hóa phi vật thể; Tổ chức các lớp tập huấn, truyền dạy, câu lạc bộ; Hỗ trợ hoạt động đội văn nghệ truyền thống; Tổ chức hoạt động thi đấu thể thao truyền thống các dân tộc thiểu số; Hỗ trợ xây dựng tủ sách cộng đồng các xã vùng đồng bào dân tộc thiểu số; Hỗ trợ trang thiết bị nhà văn hóa các thôn vùng đồng bào dân tộc thiểu số; Hỗ trợ chống xuống cấp di tích quốc gia đặc biệt, di tích quốc gia có giá trị tiêu biểu của các dân tộc thiểu số. (</t>
    </r>
    <r>
      <rPr>
        <i/>
        <sz val="12"/>
        <rFont val="Times New Roman"/>
        <family val="1"/>
      </rPr>
      <t>Nội dung 3, 5, 6, 9, 10, 11, 12 điểm b mục 2 Phụ lục VI, Quyết định số 39/2021/QĐ-TTg).</t>
    </r>
  </si>
  <si>
    <r>
      <t xml:space="preserve"> </t>
    </r>
    <r>
      <rPr>
        <i/>
        <sz val="12"/>
        <color indexed="8"/>
        <rFont val="Times New Roman"/>
        <family val="1"/>
      </rPr>
      <t>Tiểu dự án 2:</t>
    </r>
    <r>
      <rPr>
        <i/>
        <sz val="12"/>
        <rFont val="Times New Roman"/>
        <family val="1"/>
      </rPr>
      <t xml:space="preserve"> Đầu tư phát triển sản xuất theo chuỗi giá trị, vùng trồng dược liệu quý, thúc đẩy khởi sự kinh doanh, khởi nghiệp và thu hút đầu tư vùng đồng bào đồng bào dân tộc thiểu số và miền núi.</t>
    </r>
  </si>
  <si>
    <t xml:space="preserve">Tiểu Dự án 2: Đầu tư  cơ sở vật chất các đơn vị sự nghiệp công lập của lĩnh vực công tác dân tộc </t>
  </si>
  <si>
    <t>* Phân bổ cho sở, ngành tỉnh: Không quá 55 % tổng vốn. 
* Phân bổ cho các huyện: 45% tổng vốn: 
Cơ sở để xuất: Do việc tổ chức thực hiện Chương trình trên địa bàn rộng (73 xã vùng dân tộc và miền núi) với nhiều nội dung, chính sách, số vốn trung ương phân bổ cho tỉnh không nhiều (khoảng 1000 triệu đồng/năm). UBND tỉnh đề xuất chỉ phân bổ cho các sở, ngành trực tiếp quản lý các dự án, tiểu dự án để thực hiện công tác kiểm tra, giám sát và đánh giá kết quả thực hiện Chương trình, tổ chức chỉ đạo thực hiện điểm nội dung “Khởi nghiệp và thu hút đầu tư vùng đồng bào dân tộc thiểu số và miền núi thuộc tiểu dự án 2, dự án 3  tại huyện Sơn Động” (công văn số 14/UBDT-CTMTQG ngày 06/01/2022 của Bộ trưởng, Chủ nhiệm Ủy ban Dân tộc); tuyên truyền, biểu dương, thi đua, khen thưởng gương điển hình tiên tiến trong thực hiện Chương trình…Phân bổ vốn cho các huyện để thực hiện các nội dung, hoạt động của tiểu dự án, tổ chức thực hiện huyện điểm nội dung khởi nghiệp và thu hút đầu tư vùng đồng bào dân tộc thiểu số và miền núi.</t>
  </si>
  <si>
    <t>nước TT</t>
  </si>
  <si>
    <t>đất ở</t>
  </si>
  <si>
    <t>nhà ở</t>
  </si>
  <si>
    <t>ĐSX</t>
  </si>
  <si>
    <t>CĐNghề</t>
  </si>
  <si>
    <t>Hỗ trợ đất SX</t>
  </si>
  <si>
    <t>Nước TT</t>
  </si>
  <si>
    <t>Nguồn vốn đầu tư</t>
  </si>
  <si>
    <t>Nguồn vốn sự nghiệp</t>
  </si>
  <si>
    <t>Hỗ trợ chuyển đổi nghề</t>
  </si>
  <si>
    <t>Nước SH phân tán</t>
  </si>
  <si>
    <t>Hộ, CT</t>
  </si>
  <si>
    <t>Đường</t>
  </si>
  <si>
    <t>y tế</t>
  </si>
  <si>
    <t>Chợ</t>
  </si>
  <si>
    <t xml:space="preserve">Người uy tín </t>
  </si>
  <si>
    <t>tỉnh</t>
  </si>
  <si>
    <t xml:space="preserve">trợ giúp </t>
  </si>
  <si>
    <t>Tuyên truyền,
 phổ biến</t>
  </si>
  <si>
    <t>thiết bị</t>
  </si>
  <si>
    <t>Vốn 4+5+6</t>
  </si>
  <si>
    <t>Tổng 1+2+….7</t>
  </si>
  <si>
    <t>1. Vốn Đầu tư</t>
  </si>
  <si>
    <t>Nội dung tiêu chí</t>
  </si>
  <si>
    <t>Huyện Lạng Gaing</t>
  </si>
  <si>
    <t>Điểm tiêu chí</t>
  </si>
  <si>
    <t xml:space="preserve">Số lượng </t>
  </si>
  <si>
    <t>3 = 1*2</t>
  </si>
  <si>
    <t>7= 5*6</t>
  </si>
  <si>
    <t>11=9*11</t>
  </si>
  <si>
    <t>15= 13*14</t>
  </si>
  <si>
    <t>17 = 3+7+11+15</t>
  </si>
  <si>
    <t>Hỗ trợ đầu tư xây dựng cho mỗi một điểm đến du lịch tiêu biểu.</t>
  </si>
  <si>
    <t>Hỗ trợ đầu tư bảo tồn mỗi một làng, bản truyền thống tiêu biểu của các dân tộc thiểu số.</t>
  </si>
  <si>
    <t>Hỗ trợ đầu tư xây dựng thiết chế văn hoá, thể thao tại các thôn vùng đồng bào dân tộc thiểu số và miền núi</t>
  </si>
  <si>
    <t>Hỗ trợ xây dựng mỗi một mô hình bảo tàng sinh thái nhằm bảo tàng hóa di sản văn hóa phi vật thể trong cộng đồng các dân tộc thiểu số, hướng tới phát triển cộng đồng và phát triển du lịch.</t>
  </si>
  <si>
    <t>Hỗ trợ tu bổ, tôn tạo cho mỗi di tích quốc gia đặc biệt, di tích quốc gia có giá trị tiêu biểu của các dân tộc thiểu số</t>
  </si>
  <si>
    <t>Tổng cộng điểm</t>
  </si>
  <si>
    <t>1. Vốn Sự nghiệp</t>
  </si>
  <si>
    <t>Sở Văn hóa</t>
  </si>
  <si>
    <t>Tổng
 điểm</t>
  </si>
  <si>
    <t>Điểm
 tiêu
 chí</t>
  </si>
  <si>
    <t xml:space="preserve">Số 
lượng </t>
  </si>
  <si>
    <t>Số 
điểm</t>
  </si>
  <si>
    <t>Khôi phục, bảo tồn và phát triển bản sắc văn hoá truyền thống cho mỗi dân tộc có khó khăn đặc thù</t>
  </si>
  <si>
    <t>Tổ chức bảo tồn các loại hình văn hoá phi vật thể (mỗi lễ hội; mỗi mô hình văn hoá truyền thống; mỗi dự án nghiên cứu, phục dựng, bảo tồn; mỗi làng văn hóa truyền thống; mỗi chương trình tuyên truyền, quảng bá văn hoá truyền thống văn hoá các dân tộc thiểu số…)</t>
  </si>
  <si>
    <t>Tổ chức mỗi lớp tập huấn, truyền dạy, câu lạc bộ (mỗi lớp tập huấn; mỗi câu lạc bộ sinh hoạt văn hoá dân gian…)</t>
  </si>
  <si>
    <t>Hỗ trợ hoạt động cho mỗi đối văn nghệ truyền thống</t>
  </si>
  <si>
    <t>Tổ chức mỗi hoạt động thi đấu thể thao truyền thống các dân tộc thiểu số</t>
  </si>
  <si>
    <t>Hỗ trợ xây dựng tủ sách cộng đồng cho mỗi xã vùng đồng bào dân tộc thiểu số và miền núi</t>
  </si>
  <si>
    <t>Hỗ trợ trang thiết bị cho mỗi nhà văn hoá tại các thôn vùng đồng bào dân tộc thiểu số</t>
  </si>
  <si>
    <t>Hỗ trợ chống xuống cấp cho mỗi di tích quốc gia đặc biệt, di tích quốc gia có giá trị tiêu biểu của các dân tộc thiểu số</t>
  </si>
  <si>
    <t>Dự kiến nguồn vốn của Trung ương giai đoạn 2021-2025 là 140655 triệu đồng, Trung ương phân kỳ như sau:</t>
  </si>
  <si>
    <t>Năm 2021-2022</t>
  </si>
  <si>
    <t>14075 triệu đồng</t>
  </si>
  <si>
    <t>Năm 2023</t>
  </si>
  <si>
    <t>56267  triệu đồng</t>
  </si>
  <si>
    <t>Năm 2024</t>
  </si>
  <si>
    <t>Năm 2025</t>
  </si>
  <si>
    <t>14064  triệu đồng</t>
  </si>
  <si>
    <t>Huyện/xã</t>
  </si>
  <si>
    <t>Tổng số</t>
  </si>
  <si>
    <t>Vốn các xã</t>
  </si>
  <si>
    <t xml:space="preserve">Vốn 10% </t>
  </si>
  <si>
    <t>Xã Dương Hưu</t>
  </si>
  <si>
    <t>Xã Hữu Sản</t>
  </si>
  <si>
    <t>Xã An Lạc</t>
  </si>
  <si>
    <t>Xã Vân Sơn</t>
  </si>
  <si>
    <t>Xã Lệ Viễn</t>
  </si>
  <si>
    <t>Xã Vĩnh An</t>
  </si>
  <si>
    <t>Xã An Bá</t>
  </si>
  <si>
    <t>Xã Yên Định</t>
  </si>
  <si>
    <t>Xã Cẩm Đàn</t>
  </si>
  <si>
    <t>Xã Thanh Luận</t>
  </si>
  <si>
    <t xml:space="preserve">Xã Đại Sơn </t>
  </si>
  <si>
    <t>Xã Phúc Sơn</t>
  </si>
  <si>
    <t>Xã Giáo Liêm</t>
  </si>
  <si>
    <t>Xã Sa Lý</t>
  </si>
  <si>
    <t>Xã Phong Minh</t>
  </si>
  <si>
    <t>Xã Phong Vân</t>
  </si>
  <si>
    <t xml:space="preserve">Xã Tân Sơn </t>
  </si>
  <si>
    <t>Xã Cấm Sơn</t>
  </si>
  <si>
    <t>Xã Hộ Đáp</t>
  </si>
  <si>
    <t>Xã Sơn Hải</t>
  </si>
  <si>
    <t>Xã Phú Nhuận</t>
  </si>
  <si>
    <t xml:space="preserve">Xã Đèo Gia </t>
  </si>
  <si>
    <t>Xã Bình Sơn</t>
  </si>
  <si>
    <t>Xã Lục Sơn</t>
  </si>
  <si>
    <t>Xã Trường Sơn</t>
  </si>
  <si>
    <t>Xã Vô Tranh</t>
  </si>
  <si>
    <t>Xã Đồng Vương</t>
  </si>
  <si>
    <t>Xã Đồng Hưu</t>
  </si>
  <si>
    <t>Vốn ĐT</t>
  </si>
  <si>
    <t>Vốn SN</t>
  </si>
  <si>
    <t>Đầu tư phát triển sản 
xuất theo chuỗi giá trị, thúc đẩy khởi sự kinh doanh, khởi nghiệp và thu hút đầu tư (vốn SN)</t>
  </si>
  <si>
    <t>SỞ NGÀNH TỈNH</t>
  </si>
  <si>
    <r>
      <t>Xây dựng nội dung, xuất bản mỗi ấn phẩm xuất bản sách, đĩa, đĩa phim tư liệu về văn hoá truyền thống đồng bào dân tộc thiểu số
(</t>
    </r>
    <r>
      <rPr>
        <sz val="12"/>
        <color indexed="10"/>
        <rFont val="Times New Roman"/>
        <family val="1"/>
      </rPr>
      <t>Sở VHTTDL chủ trì)</t>
    </r>
  </si>
  <si>
    <r>
      <t xml:space="preserve">Khảo sát, kiểm kê, sưu tầm, tư liệu hoá di sản văn hóa truyền thống của đồng bào dân tộc thiểu số cho mỗi tỉnh vùng đồng bào DTTS và miền núi </t>
    </r>
    <r>
      <rPr>
        <sz val="12"/>
        <color indexed="10"/>
        <rFont val="Times New Roman"/>
        <family val="1"/>
      </rPr>
      <t>(Sở VHTTDL chủ trì)</t>
    </r>
  </si>
  <si>
    <r>
      <t>Hỗ trợ mỗi nghệ nhân nhân dân, nghệ nhân ưu tú người dân tộc thiểu số trong việc lưu truyền, phổ biến hình thức sinh hoạt văn hóa truyền thống và đào tạo, bồi dưỡng những người kế cận</t>
    </r>
    <r>
      <rPr>
        <sz val="12"/>
        <color indexed="10"/>
        <rFont val="Times New Roman"/>
        <family val="1"/>
      </rPr>
      <t xml:space="preserve">  (Sở VHTTDL chủ trì)</t>
    </r>
  </si>
  <si>
    <r>
      <t xml:space="preserve">Tổ chức Ngày hội, Giao lưu, Liên hoan về các loại hình văn hóa, nghệ thuật truyền thống của đồng bào dân tộc thiểu số </t>
    </r>
    <r>
      <rPr>
        <sz val="12"/>
        <color indexed="10"/>
        <rFont val="Times New Roman"/>
        <family val="1"/>
      </rPr>
      <t>(Sở VHTTDL chủ trì)</t>
    </r>
  </si>
  <si>
    <t>Cơ quan, đơn vị</t>
  </si>
  <si>
    <t>Kế hoạch vốn  năm 2022</t>
  </si>
  <si>
    <t>ĐVT: Triệu đồng</t>
  </si>
  <si>
    <r>
      <t xml:space="preserve">KẾ HOẠCH VỐN TIỂU DỰ ÁN 2- DỰ ÁN 3 (HỖ TRỢ PHÁT TRIỂN SẢN XUẤT THEO CHUỖI GIÁ TRỊ, VÙNG TRỒNG DƯỢC LIỆU QUÝ, THÚC ĐẨY KHỞI SỰ KINH DOANH, KHỞI NGHIỆP VÀ THU HÚT ĐẦU TƯ VÙNG ĐỒNG BÀO DÂN TỘC 
THIỂU SỐ VÀ MIỀN NÚI  NĂM 2022
</t>
    </r>
    <r>
      <rPr>
        <i/>
        <sz val="12"/>
        <rFont val="Times New Roman"/>
        <family val="1"/>
      </rPr>
      <t>(Kèm theo Quyết định số             /QĐ-UBND ngày       /6/2022 của UBND tỉnh Bắc Giang)</t>
    </r>
  </si>
  <si>
    <t>Kế hoạch vốn năm 2022</t>
  </si>
  <si>
    <r>
      <t xml:space="preserve">KẾ HOẠCH VỐN ĐẦU TƯ PHÁT TRIỂN NGÂN SÁCH TRUNG ƯƠNG DỰ ÁN 4 (XÃ, THÔN BẢN ĐẶC BIỆT KHÓ KHĂN)  CHƯƠNG TRÌNH  MỤC TIÊU QUỐC GIA PHÁT TRIỂN KINH TẾ XÃ HỘI VÙNG DÂN TỘC THIỂU SỐ VÀ MIỀN NÚI NĂM 2022
</t>
    </r>
    <r>
      <rPr>
        <i/>
        <sz val="12"/>
        <rFont val="Times New Roman"/>
        <family val="1"/>
      </rPr>
      <t>(Kèm theo Quyết định số             /QĐ-UBND ngày       /6/2022 của UBND tỉnh Bắc Giang)</t>
    </r>
  </si>
  <si>
    <t>STT</t>
  </si>
  <si>
    <t>Danh mục</t>
  </si>
  <si>
    <t>Địa điểm xây dựng</t>
  </si>
  <si>
    <t>Thời gian KC-HT</t>
  </si>
  <si>
    <t>Quyết định đầu tư</t>
  </si>
  <si>
    <t>Kế hoạch vốn 2022</t>
  </si>
  <si>
    <t>NSTW</t>
  </si>
  <si>
    <t>Số quyết định, ngày, tháng, năm ban hành</t>
  </si>
  <si>
    <t>TMĐT</t>
  </si>
  <si>
    <t>Trong đó</t>
  </si>
  <si>
    <t>Tổng số (tất cả các nguồn vốn)</t>
  </si>
  <si>
    <t>Vốn ĐTPT</t>
  </si>
  <si>
    <t>Vốn Ngân sách trung ương</t>
  </si>
  <si>
    <t>Vốn Ngân sách tỉnh</t>
  </si>
  <si>
    <t>Dự án 1: Giải quyết tình trạng thiếu đất ở, nhà ở, đất sản xuất, nước sinh hoạt</t>
  </si>
  <si>
    <t>Hỗ trợ nhà ở</t>
  </si>
  <si>
    <t>Hỗ trợ nước sinh hoạt</t>
  </si>
  <si>
    <t xml:space="preserve"> - </t>
  </si>
  <si>
    <t>Nước sinh hoạt phân tán</t>
  </si>
  <si>
    <t xml:space="preserve"> -</t>
  </si>
  <si>
    <t>Nước sinh hoạt tập trung</t>
  </si>
  <si>
    <t>Dự án 2: Quy hoạch, sắp xếp, bố trí, ổn định dân cư ở những nơi cần thiết. Bố trí, sắp xếp ổn định dân cư vùng đặc biệt khó khăn, vùng biên giới, hộ dân tộc thiểu số còn du canh, du cư, dân di cư tự do và những nơi cần thiết</t>
  </si>
  <si>
    <t>Dự án 3: Phát triển sản xuất nông, lâm nghiệp, phát huy tiềm năng, thế mạnh của các vùng miền để sản xuất hàng hóa theo chuỗi giá trị</t>
  </si>
  <si>
    <t xml:space="preserve">Tiểu dự án 1: Phát triển kinh tế nông, lâm nghiệp gắn với bảo vệ rừng và nâng cao thu nhập cho người dân </t>
  </si>
  <si>
    <t>Tiểu dự án 2: Đầu tư phát triển sản xuất theo chuỗi giá trị, vùng trồng dược liệu quý, thúc đẩy khởi sự kinh doanh, khởi nghiệp và thu hút đầu tư vùng đồng bào đồng bào dân tộc thiểu số và miền núi.</t>
  </si>
  <si>
    <t>Nội dung 1: Đầu tư cơ sở hạ tầng thiết yếu, phục vụ sản xuất, đời sống trong vùng đồng bào dân tộc thiểu số và miền núi</t>
  </si>
  <si>
    <t>Tiểu dự án 1: Đổi mới hoạt động, củng cố phát triển các trường phổ thông dân tộc nội trú, trường phổ thông dân tộc bán trú và xóa mù chữ cho người dân vùng đồng bào dân tộc thiểu số</t>
  </si>
  <si>
    <t>Tiểu dự án 2: Bồi dưỡng kiến thức dân tộc; đào tạo dự bị đại học, đại học và sau đại học đáp ứng nhu cầu nhân lực cho vùng đồng bào dân tộc thiểu số; đào tạo nâng cao năng lực cho cộng đồng và cán bộ triển khai Chương trình ở các cấp</t>
  </si>
  <si>
    <t>Tiểu dự án 3: Dự án phát triển giáo dục nghề nghiệp và giải quyết việc làm cho thanh niên vùng dân tộc thiểu số và miền núi</t>
  </si>
  <si>
    <t>Tiểu dự án 4: Đào tạo nâng cao năng lực cho cộng đồng và cán bộ triển khai thực hiện Chương trình các cấp</t>
  </si>
  <si>
    <t>Dự án 6: Bảo tồn, phát huy giá trị văn hóa truyền thống tốt đẹp của các dân tộc thiểu số gắn với phát triển du lịch</t>
  </si>
  <si>
    <t>Dự án 7: Chăm sóc sức khỏe nhân dân, nâng cao thể trạng, tầm vóc người dân tộc thiểu số; phòng chống suy dinh dưỡng trẻ em</t>
  </si>
  <si>
    <t>VIII</t>
  </si>
  <si>
    <t>Dự án 8: Thực hiện bình đẳng giới và giải quyết những vấn đề cấp thiết đối với phụ nữ và trẻ em</t>
  </si>
  <si>
    <t>IX</t>
  </si>
  <si>
    <t>Dự án 9: Đầu tư tạo sinh kế, phát triển kinh tế nhóm dân tộc rất ít người, nhóm dân tộc còn nhiều khó khăn</t>
  </si>
  <si>
    <t xml:space="preserve">Nội dung 2: Giảm thiểu tình trạng tảo hôn và hôn nhân cận huyết thống </t>
  </si>
  <si>
    <t>Tiểu dự  án 1: Biểu dương, tôn vinh điển hình tiên tiến, phát huy vai trò của  người có uy tín; phổ biến, giáo dục pháp luật và tuyên truyền, vận động đồng bào</t>
  </si>
  <si>
    <t>Tiểu dự  án 2:  Ứng dụng công nghệ thông tin hỗ trợ phát triển kinh tế - xã hội và đảm bảo an ninh trật tự vùng đồng bào dân tộc thiểu số và miền núi</t>
  </si>
  <si>
    <t>Tiểu dự án 3: Kiểm tra, giám sát, đánh giá, việc tổ chức thực hiện Chương trình</t>
  </si>
  <si>
    <t>Đơn vị tính: Triệu đồng</t>
  </si>
  <si>
    <t>Danh mục dự án</t>
  </si>
  <si>
    <t>Các cơ quan, đơn vị</t>
  </si>
  <si>
    <t>Ban Quản lý dự án đầu tư xây dựng công trình dân dụng và công nghiệp tỉnh</t>
  </si>
  <si>
    <t>Vốn NSTW</t>
  </si>
  <si>
    <t xml:space="preserve"> + Vốn ĐTPT</t>
  </si>
  <si>
    <t xml:space="preserve"> + Vốn sự nghiệp</t>
  </si>
  <si>
    <t>Vốn NS tỉnh</t>
  </si>
  <si>
    <t>1.1</t>
  </si>
  <si>
    <t xml:space="preserve">Danh mục các dự án, tiểu dự án
</t>
  </si>
  <si>
    <t>Kế hoạch  vốn năm 2022</t>
  </si>
  <si>
    <t>NST</t>
  </si>
  <si>
    <t xml:space="preserve">Tổng cộng </t>
  </si>
  <si>
    <t>Đầu tư CSHT xã, thôn bản ĐBKK</t>
  </si>
  <si>
    <t>Cứng hóa đường giao thông 
đến trung tâm xã</t>
  </si>
  <si>
    <t>Đầu tư cơ sỏ vật chất phục 
vụ chuyển đổi số và xóa mù chữ</t>
  </si>
  <si>
    <t xml:space="preserve">TÊN CHỦ ĐẦU TƯ: BAN QUẢN LÝ DỰ ÁN ĐẦU TƯ XÂY DỰNG CÁC CÔNG TRÌNH DÂN DỤNG VÀ CÔNG NGHIỆP </t>
  </si>
  <si>
    <t>Stt</t>
  </si>
  <si>
    <t>TÊN CHỦ ĐẦU TƯ: HỘI LIÊN HIỆP PHỤ NỮ TỈNH</t>
  </si>
  <si>
    <t xml:space="preserve">TÊN CHỦ ĐẦU TƯ: SỞ VĂN HÓA THỂ THAO VÀ DU LỊCH </t>
  </si>
  <si>
    <t>Dự án 10: Truyền thông, tuyên truyền, vận động trong vùng đồng bào dân tộc thiểu số và miền núi. Kiểm tra, giám sát đánh giá việc tổ chức thực hiện Chương trình</t>
  </si>
  <si>
    <t>Tiểu dự án 3: Kiểm tra, giám sát, đánh giá, việc tổ chức thực hiện Chương trình,</t>
  </si>
  <si>
    <t>Khảo sát, sưu tầm, lưu giữ, trưng bày di sản văn hóa truyền
 thống dân tộc Tày, Nùng; Hỗ trợ nghệ nhân nhân dân, nghệ nhân ưu tú người dân tộc thiểu số</t>
  </si>
  <si>
    <t>TÊN CHỦ ĐẦU TƯ: SỞ LAO ĐỘNG THƯƠNG BINH VÀ XÃ HỘI</t>
  </si>
  <si>
    <t>TÊN CHỦ ĐẦU TƯ: SỞ THÔNG TIN VÀ TRUYỀN THÔNG</t>
  </si>
  <si>
    <t>Đơn vị tính: triệu đồng</t>
  </si>
  <si>
    <t xml:space="preserve">Dự án 3: Tiểu dự án 1: Phát triển kinh tế nông, lâm nghiệp bền vững gắn với bảo vệ rừng và nâng cao thu nhập cho người dân </t>
  </si>
  <si>
    <t>Hỗ trợ khoán bảo vệ rừng</t>
  </si>
  <si>
    <t>Hỗ trợ bảo vệ rừng</t>
  </si>
  <si>
    <t>Huyện 
Sơn Động</t>
  </si>
  <si>
    <t>Ngân sách trung ương</t>
  </si>
  <si>
    <t>Ngân sách tỉnh</t>
  </si>
  <si>
    <t>Tổng cộng 10 dự án</t>
  </si>
  <si>
    <t>UBND huyện Sơn Động</t>
  </si>
  <si>
    <t>UBND huyện Sơn Động, UBND các xã ĐBKK, xã có thôn, bản ĐBKK</t>
  </si>
  <si>
    <t>Nội dung 1: Đầu tư phát triển sản xuất theo chuỗi giá trị, thúc đẩy khởi sự kinh doanh, khởi nghiệp và thu hút đầu tư vùng đồng bào đồng bào dân tộc thiểu số và miền núi.</t>
  </si>
  <si>
    <t>Nội dung 2: Đầu tư vùng trồng dược liệu quý</t>
  </si>
  <si>
    <t xml:space="preserve">Duy tu bảo dưỡng </t>
  </si>
  <si>
    <t>Đầu tư Trường PTDTBT</t>
  </si>
  <si>
    <t>Tổng cộng 9 dự án</t>
  </si>
  <si>
    <t>Nội dung: Đầu tư phát triển sản xuất theo chuỗi giá trị, thúc đẩy khởi sự kinh doanh, khởi nghiệp và thu hút đầu tư vùng đồng bào đồng bào dân tộc thiểu số và miền núi.</t>
  </si>
  <si>
    <t>UBND huyện Lục Ngạn</t>
  </si>
  <si>
    <t>UBND huyện Lục Nam</t>
  </si>
  <si>
    <t>Đầu tư Trường PTDTNT</t>
  </si>
  <si>
    <t>Dự án bố trí, sắp xếp ổn định dân cư tại chỗ các thôn, bản: Tràng Bắn, Đồng Đảng, Thái Hà, La Xa,  Bình Minh, xã Đồng Vương, huyện Yên Thế</t>
  </si>
  <si>
    <t>UBND huyện Yên Thế</t>
  </si>
  <si>
    <t>Tổng cộng 8 dự án</t>
  </si>
  <si>
    <t>UBND huyện Lạng Giang</t>
  </si>
  <si>
    <t>TÊN CHỦ ĐẦU TƯ: BAN DÂN TỘC</t>
  </si>
  <si>
    <t>Nội dung: Đầu tư phát triển sản xuất theo chuỗi giá trị, thúc đẩy khởi sự kinh doanh, khởi nghiệp và thu hút đầu tư vùng đồng bào dân tộc thiểu số và miền núi.</t>
  </si>
  <si>
    <t xml:space="preserve"> +</t>
  </si>
  <si>
    <t>Mô hình ứng dụng công nghệ thông tin tiêu thụ sản phẩm vùng đồng bào dân tộc thiểu số và miền núi.</t>
  </si>
  <si>
    <t>Phổ biến, giáo dục pháp luật và tuyên truyền, vận động đồng bào DTTS</t>
  </si>
  <si>
    <t xml:space="preserve">Biểu dương, tôn vinh điển hình tiên tiến, phát 
huy vai trò của người có uy tín: </t>
  </si>
  <si>
    <t>Sở Nông nghiệp và PTNT</t>
  </si>
  <si>
    <t>Ban Dân tộc</t>
  </si>
  <si>
    <t>Sở Giáo dục và Đào tạo</t>
  </si>
  <si>
    <t>Sở Lao động Thương binh và Xã hội</t>
  </si>
  <si>
    <t>Sở Văn Hóa Thể thao và Du Lịch</t>
  </si>
  <si>
    <t>Hội liên hiệp phụ tỉnh</t>
  </si>
  <si>
    <t>Sở Thông tin và Truyền thông</t>
  </si>
  <si>
    <t>Sở Tài chính</t>
  </si>
  <si>
    <t>Tên đơn vị</t>
  </si>
  <si>
    <t>Huyện 
Lục Ngạn</t>
  </si>
  <si>
    <t>GIAO: ỦY BAN NHÂN DÂN HUYỆN SƠN ĐỘNG</t>
  </si>
  <si>
    <t>A</t>
  </si>
  <si>
    <t>Đầu tư Trường PTDTBT, Trường PTDTNT</t>
  </si>
  <si>
    <t>Vốn Người
 uy tín</t>
  </si>
  <si>
    <t xml:space="preserve">Sở Tư pháp (Trung tâm trợ giúp pháp lý tỉnh) </t>
  </si>
  <si>
    <t>đã trừ thiết bị</t>
  </si>
  <si>
    <t>chợ</t>
  </si>
  <si>
    <t>Y tế</t>
  </si>
  <si>
    <t>ĐT</t>
  </si>
  <si>
    <t>CHỢ</t>
  </si>
  <si>
    <t>Y TÊ</t>
  </si>
  <si>
    <t xml:space="preserve"> HUYỆN LỤC NGẠN</t>
  </si>
  <si>
    <t xml:space="preserve"> HUYỆN YÊN THẾ</t>
  </si>
  <si>
    <t xml:space="preserve">Tổng số </t>
  </si>
  <si>
    <t>Dự án 4: Đầu tư cơ sở hạ tầng thiết yếu phục vụ sản xuất, đời sống trong vùng đồng bào dân tộc thiểu số (Tiểu dự án 1)</t>
  </si>
  <si>
    <t>2022-2023</t>
  </si>
  <si>
    <t>1.2</t>
  </si>
  <si>
    <t>1.3</t>
  </si>
  <si>
    <t>1.4</t>
  </si>
  <si>
    <t xml:space="preserve">Cải tạo, nâng cấp trạm y tế xã </t>
  </si>
  <si>
    <t>GIAO: ỦY BAN NHÂN DÂN HUYỆN LỤC NGẠN</t>
  </si>
  <si>
    <t>GIAO: ỦY BAN NHÂN DÂN HUYỆN LỤC NAM</t>
  </si>
  <si>
    <t>GIAO: ỦY BAN NHÂN DÂN HUYỆN YÊN THẾ</t>
  </si>
  <si>
    <t>GIAO: ỦY BAN NHÂN DÂN HUYỆN LẠNG GIANG</t>
  </si>
  <si>
    <r>
      <rPr>
        <b/>
        <sz val="14"/>
        <rFont val="Times New Roman"/>
        <family val="1"/>
      </rPr>
      <t>Đầu tư cơ sở vật chất các trường PTDTNT tỉnh, PTDTNT huyện Sơn Động, PTDTNT huyện Lục Ngạn:</t>
    </r>
    <r>
      <rPr>
        <sz val="14"/>
        <rFont val="Times New Roman"/>
        <family val="1"/>
      </rPr>
      <t xml:space="preserve"> hạng mục Phòng ở nội trú cho HSNT;  Nhà ăn + nhà bếp;  Phòng quản lý HSNT; công trình vệ sinh, nước sạch;  Nhà sinh hoạt, giáo dục văn hóa dân tộc; Phòng học thông thường và phòng học bộ môn; các công trình phụ trợ sân chơi, bãi tập, vườn ươm cây…</t>
    </r>
  </si>
  <si>
    <t>Thiết bị trạm y tế xã</t>
  </si>
  <si>
    <t>Cứng hóa đường giao thông đến trung tâm xã</t>
  </si>
  <si>
    <t>*</t>
  </si>
  <si>
    <t>Thiết bị trạm y tế</t>
  </si>
  <si>
    <t>Sở Y tế</t>
  </si>
  <si>
    <t>Tổng 10</t>
  </si>
  <si>
    <t xml:space="preserve">Dự án 1: Giải quyết tình trạng thiếu đất ở, nhà ở, đất sản xuất, nước sinh hoạt </t>
  </si>
  <si>
    <t>(*)</t>
  </si>
  <si>
    <t>Hỗ trợ các hoạt động xóa mù chữ</t>
  </si>
  <si>
    <t>Cải tạo, nâng cấp 02  trạm y tế xã + 
hỗ trợ trang thiết bị Y tế</t>
  </si>
  <si>
    <t xml:space="preserve">Duy tu bảo dưỡng công trình sau đầu tư </t>
  </si>
  <si>
    <t>Cải tạo, nâng cấp 01 chợ</t>
  </si>
  <si>
    <t>UBND huyện
 Sơn Động</t>
  </si>
  <si>
    <t>Tiểu dự án 2: Bồi dưỡng kiến thức dân tộc; đào tạo dự bị đại học, đại học và sau đại học đáp ứng nhu cầu nhân lực cho vùng đồng bào dân tộc thiểu số và miền núi,</t>
  </si>
  <si>
    <t xml:space="preserve">Tiểu dự án 2: Giảm thiểu tình trạng tảo hôn và hôn nhân cận huyết thống </t>
  </si>
  <si>
    <r>
      <t xml:space="preserve">BIỂU SỐ 01
 KẾ HOẠCH VỐN  CHƯƠNG TRÌNH MỤC TIÊU QUỐC GIA PHÁT TRIỂN KINH TẾ-XÃ HỘI VÙNG ĐỒNG BÀO DÂN TỘC THIỂU SỐ VÀ MIỀN NÚI NĂM 2022
</t>
    </r>
    <r>
      <rPr>
        <i/>
        <sz val="14"/>
        <rFont val="Times New Roman"/>
        <family val="1"/>
      </rPr>
      <t>(Kèm theo Tờ trình  số             /TTr- BDT ngày       /6/2022 của Ban Dân tộc)</t>
    </r>
  </si>
  <si>
    <t>Duy tu bảo dưỡng công trình sau đầu tư</t>
  </si>
  <si>
    <t>UBND huyện 
Lục Ngạn</t>
  </si>
  <si>
    <t>UBND huyện
Lục Nam</t>
  </si>
  <si>
    <t>Cải tạo, nâng cấp 01 trạm y tế xã + 
hỗ trợ trang thiết bị Y tế</t>
  </si>
  <si>
    <t>UBND huyện 
Lục Nam</t>
  </si>
  <si>
    <r>
      <t xml:space="preserve">BIỂU SỐ 02
 KẾ HOẠCH VỐN  CHƯƠNG TRÌNH MỤC TIÊU QUỐC GIA PHÁT TRIỂN KINH TẾ-XÃ HỘI VÙNG ĐỒNG BÀO DÂN TỘC THIỂU SỐ VÀ MIỀN NÚI NĂM 2022
</t>
    </r>
    <r>
      <rPr>
        <i/>
        <sz val="14"/>
        <rFont val="Times New Roman"/>
        <family val="1"/>
      </rPr>
      <t>(Kèm theo Tờ trình  số             /TTr- BDT ngày       /6/2022 của Ban Dân tộc)</t>
    </r>
  </si>
  <si>
    <r>
      <t xml:space="preserve">BIỂU SỐ 03
 KẾ HOẠCH VỐN  CHƯƠNG TRÌNH MỤC TIÊU QUỐC GIA PHÁT TRIỂN KINH TẾ-XÃ HỘI VÙNG ĐỒNG BÀO 
DÂN TỘC THIỂU SỐ VÀ MIỀN NÚI NĂM 2022
</t>
    </r>
    <r>
      <rPr>
        <i/>
        <sz val="14"/>
        <rFont val="Times New Roman"/>
        <family val="1"/>
      </rPr>
      <t>(Kèm theo Tờ trình  số             /TTr- BDT ngày       /6/2022 của Ban Dân tộc)</t>
    </r>
  </si>
  <si>
    <r>
      <t xml:space="preserve">BIỂU SỐ 04
 KẾ HOẠCH VỐN  CHƯƠNG TRÌNH MỤC TIÊU QUỐC GIA PHÁT TRIỂN KINH TẾ-XÃ HỘI VÙNG ĐỒNG BÀO
 DÂN TỘC THIỂU SỐ VÀ MIỀN NÚI NĂM 2022
</t>
    </r>
    <r>
      <rPr>
        <i/>
        <sz val="14"/>
        <rFont val="Times New Roman"/>
        <family val="1"/>
      </rPr>
      <t>(Kèm theo Tờ trình  số             /TTr- BDT ngày       /6/2022 của Ban Dân tộc)</t>
    </r>
  </si>
  <si>
    <t>UBND huyện 
Yên Thế</t>
  </si>
  <si>
    <t>UBND huyện
 Yên Thế</t>
  </si>
  <si>
    <t>UBND huyện
Yên Thế</t>
  </si>
  <si>
    <t>Tiểu dự án 2: Bồi dưỡng kiến thức dân tộc; đào tạo dự bị đại học, đại học và sau đại học đáp ứng
 nhu cầu nhân lực cho vùng đồng bào dân 
tộc thiểu số và miền núi.</t>
  </si>
  <si>
    <r>
      <t xml:space="preserve"> KẾ HOẠCH VỐN GIAO CHO CÁC SỞ, NGÀNH  THỰC HIỆN
 CHƯƠNG TRÌNH MỤC TIÊU QUỐC GIA PHÁT TRIỂN KINH TẾ-XÃ HỘI VÙNG ĐỒNG BÀO DÂN TỘC THIỂU SỐ VÀ MIỀN NÚI NĂM 2022
</t>
    </r>
    <r>
      <rPr>
        <i/>
        <sz val="14"/>
        <rFont val="Times New Roman"/>
        <family val="1"/>
      </rPr>
      <t>(Kèm theo tờ trình số             /TTr-BDT ngày       /6/2022 của Ban Dân tộc)</t>
    </r>
  </si>
  <si>
    <r>
      <t xml:space="preserve"> KẾ HOẠCH VỐN ĐẦU TƯ PHÁT TRIỂN GIAO CHO CÁC SỞ, NGÀNH, ĐƠN VỊ  THỰC HIỆN
 CHƯƠNG TRÌNH MỤC TIÊU QUỐC GIA PHÁT TRIỂN KINH TẾ-XÃ HỘI VÙNG ĐỒNG BÀO DÂN TỘC THIỂU SỐ VÀ MIỀN NÚI NĂM 2022
</t>
    </r>
    <r>
      <rPr>
        <i/>
        <sz val="14"/>
        <rFont val="Times New Roman"/>
        <family val="1"/>
      </rPr>
      <t>(Kèm theo tờ trình số             /TTr-BDT ngày       /6/2022 của Ban Dân tộc)</t>
    </r>
  </si>
  <si>
    <t>TÊN CHỦ ĐẦU TƯ: TRUNG TÂM TRỢ GIÚP PHÁP LÝ, SỞ TƯ PHÁP</t>
  </si>
  <si>
    <t>TÊN CHỦ ĐẦU TƯ: SỞ Y TẾ</t>
  </si>
  <si>
    <t>TÊN CHỦ ĐẦU TƯ: SỞ TÀI CHÍNH</t>
  </si>
  <si>
    <t>Chỉ tiêu</t>
  </si>
  <si>
    <t>Đơn vị tính</t>
  </si>
  <si>
    <t xml:space="preserve">Chủ đầu tư </t>
  </si>
  <si>
    <t xml:space="preserve">Nội dung thực hiện các dự án, tiểu dự án
</t>
  </si>
  <si>
    <t>Kế hoạch vốn năm 2022
 (vốn sự nghiệp)</t>
  </si>
  <si>
    <t>5 triệu/xã</t>
  </si>
  <si>
    <t>xã</t>
  </si>
  <si>
    <t>Người</t>
  </si>
  <si>
    <t>90 triệu/gói</t>
  </si>
  <si>
    <t>Gói</t>
  </si>
  <si>
    <t xml:space="preserve">Tổ chức các phiên giao dịch việc làm lưu động, Phiên giao dịch việc làm chuyên đề tại các địa bàn vùng dân tộc thiểu số và miền núi </t>
  </si>
  <si>
    <t>30 triệu/phiên</t>
  </si>
  <si>
    <t>Phiên</t>
  </si>
  <si>
    <t>Trung tâm 
dịch vụ việc làm tỉnh Bắc Giang, Sở LĐTBXH</t>
  </si>
  <si>
    <t>Đào tạo để đi làm việc theo hợp đồng có thời hạn ở nước ngoài</t>
  </si>
  <si>
    <t>6 triệu/ngươi</t>
  </si>
  <si>
    <t>Tuyên truyền, phổ biến các quy định của pháp luật về các chính sách hỗ trợ giải quyết việc làm, nhu cầu tuyển dụng lao động của các doanh nghiệp trong và ngoài nước</t>
  </si>
  <si>
    <t xml:space="preserve">    +</t>
  </si>
  <si>
    <t>Nội dung giáo dục nghề nghiệp: Hỗ trợ đào tạo trình độ sơ cấp và các chương trình đào tạo dưới 3 tháng</t>
  </si>
  <si>
    <t>Trung tâm giáo dục nghề nghiệp - giáo dục thường xuyên huyện Lục Ngạn</t>
  </si>
  <si>
    <t>Mua sắm trang thiết bị đào tạo</t>
  </si>
  <si>
    <t>cơ sở</t>
  </si>
  <si>
    <t>GIAO: THỰC HIỆN TIỂU DỰ ÁN 3- DỰ ÁN 5</t>
  </si>
  <si>
    <r>
      <t xml:space="preserve">KẾ HOẠCH VỐN  GIAO CHO UBND CÁC HUYỆN, SỞ, NGÀNH THỰC HIỆN CHƯƠNG TRÌNH MỤC TIÊU QUỐC GIA PHÁT TRIỂN KINH TẾ-XÃ HỘI VÙNG ĐỒNG BÀO DÂN TỘC THIỂU SỐ VÀ MIỀN NÚI NĂM 2022
</t>
    </r>
    <r>
      <rPr>
        <i/>
        <sz val="14"/>
        <color indexed="8"/>
        <rFont val="Times New Roman"/>
        <family val="1"/>
      </rPr>
      <t xml:space="preserve">(Kèm theo Tờ trình số             /TTr - BDT ngày       /6/2022 của Ban Dân tộc)
</t>
    </r>
  </si>
  <si>
    <r>
      <t xml:space="preserve"> KẾ HOẠCH VỐN GIAO CHO CÁC SỞ, NGÀNH  THỰC HIỆN
 CHƯƠNG TRÌNH MỤC TIÊU QUỐC GIA PHÁT TRIỂN KINH TẾ-XÃ HỘI VÙNG ĐỒNG BÀO DÂN TỘC THIỂU SỐ VÀ MIỀN NÚI NĂM 2022
</t>
    </r>
    <r>
      <rPr>
        <i/>
        <sz val="14"/>
        <rFont val="Times New Roman"/>
        <family val="1"/>
      </rPr>
      <t xml:space="preserve">(Kèm theo Tờ trình số             /TTr - BDT ngày       /6/2022 của Ban Dân tộc)
</t>
    </r>
  </si>
  <si>
    <t>GIAO: SỞ NÔNG NGHIỆP VÀ PHÁT TRIỂN NÔNG THÔN</t>
  </si>
  <si>
    <t>ha</t>
  </si>
  <si>
    <t>Ban Quản lý  bảo tồn Tây Yên Tử</t>
  </si>
  <si>
    <t>Ban Quản lý rừng phòng hộ Cấm Sơn</t>
  </si>
  <si>
    <t>Ghi chú: Ủy quyền Giám đốc Sở Nông nghiệp và Phát triển Nông thôn quyết định điều chỉnh (nếu có)</t>
  </si>
  <si>
    <t>Cứng hóa đường giao thông  đến trung tâm xã</t>
  </si>
  <si>
    <r>
      <t xml:space="preserve">BIỂU SỐ 05
 KẾ HOẠCH VỐN  CHƯƠNG TRÌNH MỤC TIÊU QUỐC GIA PHÁT TRIỂN KINH TẾ-XÃ HỘI VÙNG ĐỒNG BÀO
 DÂN TỘC THIỂU SỐ VÀ MIỀN NÚI NĂM 2022
</t>
    </r>
    <r>
      <rPr>
        <i/>
        <sz val="14"/>
        <rFont val="Times New Roman"/>
        <family val="1"/>
      </rPr>
      <t>(Kèm theo Tờ trình  số             /TTr- BDT ngày       /6/2022 của Ban Dân tộc)</t>
    </r>
  </si>
  <si>
    <t>Nội dung lao động việc làm: Tuyên truyền, phổ biến các quy định của pháp luật về các chính sách hỗ trợ giải quyết việc làm, nhu cầu tuyển dụng lao động của các doanh nghiệp trong và ngoài nước</t>
  </si>
  <si>
    <t>Ghi chú: Ủy quyền cho Giám đốc Sở Lao động Thương binh và Xã hội điều chỉnh các nội dung lao động việc làm, kinh phí hỗ trợ đào tạo trình độ sơ cấp và 
các chương trình đào tạo dưới 3 tháng</t>
  </si>
  <si>
    <t>Ban Quản lý rừng phòng hộ huyện Sơn Động</t>
  </si>
  <si>
    <t>Hạt Kiểm lâm huyện Sơn Động</t>
  </si>
  <si>
    <t>Hạt Kiểm lâm huyện Lục Ngạn</t>
  </si>
  <si>
    <t>Hạt Kiểm lâm huyện Lục Nam</t>
  </si>
  <si>
    <t xml:space="preserve"> Huyện Sơn Động</t>
  </si>
  <si>
    <t>Ghi chú: (*) UBND huyện giao kế hoạch chi tiết danh mục và kế hoạch vốn công trình, các dự án, mô hình, nội dung hỗ trợ</t>
  </si>
  <si>
    <t>Nội dung giáo dục nghề nghiệp:</t>
  </si>
  <si>
    <t>Dự án di dân tập trung các hộ ở Khe Đin, thôn Nà Trắng; bố trí sắp xếp ổn định dân cư tại chỗ thôn Đồng Bài, thôn Đồng Bây xã An Lạc, huyện Sơn Động, tỉnh Bắc Giang</t>
  </si>
  <si>
    <t xml:space="preserve"> - Huyện Sơn Động</t>
  </si>
  <si>
    <t xml:space="preserve"> - Huyện Lục Ngạn</t>
  </si>
  <si>
    <t xml:space="preserve">  - Huyện Lục Nam</t>
  </si>
  <si>
    <t xml:space="preserve"> - Huyện Yên Thế</t>
  </si>
  <si>
    <t xml:space="preserve"> - Huyện Lạng Giang</t>
  </si>
  <si>
    <t>Ban Dân tộc; UBND các huyện</t>
  </si>
  <si>
    <t>Ban Dân tộc, Sở Tư pháp; UBND các huyện</t>
  </si>
  <si>
    <t>Các sở, cơ quan và UBND các huyện</t>
  </si>
  <si>
    <t>UBND các xã</t>
  </si>
  <si>
    <t>Ban QLDA ĐTXD huyện Sơn Động, Yên Thế</t>
  </si>
  <si>
    <t xml:space="preserve"> * Phân bổ cho các huyện, xã</t>
  </si>
  <si>
    <t xml:space="preserve"> - Huyên Lục Nam</t>
  </si>
  <si>
    <t xml:space="preserve"> - Trung tâm GDNN-GDTX huyện Lục Ngạn</t>
  </si>
  <si>
    <t>1.5</t>
  </si>
  <si>
    <t>Xây dựng, cải tạo nâng cấp chợ</t>
  </si>
  <si>
    <t>1.6</t>
  </si>
  <si>
    <t>Cải tạo, nâng cấp trạm y tế xã</t>
  </si>
  <si>
    <t>79 nhà</t>
  </si>
  <si>
    <t>127 nhà</t>
  </si>
  <si>
    <t>28 nhà</t>
  </si>
  <si>
    <t>3 nhà</t>
  </si>
  <si>
    <t>Vốn đầu tư phát triển</t>
  </si>
  <si>
    <t>Vốn sự nghiệp</t>
  </si>
  <si>
    <t>Đầu tư cơ sở hạ tầng xã, thôn bản đặc biệt khó khăn</t>
  </si>
  <si>
    <t>Vốn ngân sách tỉnh</t>
  </si>
  <si>
    <t xml:space="preserve"> Vốn ĐTPT</t>
  </si>
  <si>
    <t>PHÁT TRIỂN KINH TẾ-XÃ HỘI VÙNG ĐỒNG BÀO DÂN TỘC THIỂU SỐ VÀ MIỀN NÚI TỈNH BẮC GIANG NĂM 2022</t>
  </si>
  <si>
    <t>CHƯƠNG TRÌNH MỤC TIÊU QUỐC GIA PHÁT TRIỂN KINH TẾ-XÃ HỘI</t>
  </si>
  <si>
    <t>VÙNG ĐỒNG BÀO DÂN TỘC THIỂU SỐ VÀ MIỀN NÚI NĂM 2022</t>
  </si>
  <si>
    <t>Chủ đầu tư; đơn vị chủ trì thực hiện</t>
  </si>
  <si>
    <t>Biểu II.2</t>
  </si>
  <si>
    <t>Năng lực thiết kế/Nội dung thực hiện</t>
  </si>
  <si>
    <t>Vốn ngân sách trung ương</t>
  </si>
  <si>
    <t>Dự án 2: Quy hoạch, sắp xếp, bố trí, ổn định dân cư ở những nơi cần thiết</t>
  </si>
  <si>
    <t>Dự án 3: Phát triển sản xuất nông, lâm nghiệp bền vững, phát huy tiềm năng, thế mạnh của các vùng miền để sản xuất hàng hóa theo chuỗi giá trị (Tiểu dự án 2)</t>
  </si>
  <si>
    <t>UBND các huyện, xã</t>
  </si>
  <si>
    <t>Bình quân 3,2 triệu/tháng * 5 tháng</t>
  </si>
  <si>
    <t xml:space="preserve">Sở Văn hóa, Thể thao và Du lịch </t>
  </si>
  <si>
    <t>Hội Liên hiệp phụ nữ tỉnh</t>
  </si>
  <si>
    <t>Sở Tư pháp</t>
  </si>
  <si>
    <t>Danh mục/Nội dung thực hiện</t>
  </si>
  <si>
    <t>UBND huyện, xã</t>
  </si>
  <si>
    <t>BQLDA đầu tư xây dựng huyện Sơn Động</t>
  </si>
  <si>
    <t xml:space="preserve"> - Xây dựng, cải tạo chợ trên địa bàn huyện Sơn Động</t>
  </si>
  <si>
    <t xml:space="preserve"> - Xây dựng, cải tạo chợ trên địa bàn huyện Lục Ngạn</t>
  </si>
  <si>
    <t xml:space="preserve"> - Xây dựng, cải tạo chợ trên địa bàn huyện Lục Nam</t>
  </si>
  <si>
    <t xml:space="preserve"> - Xây dựng, cải tạo chợ trên địa bàn huyện Yên Thế</t>
  </si>
  <si>
    <t xml:space="preserve"> - Xây dựng, cải tạo trạm y tế xã trên địa bàn huyện Sơn Động</t>
  </si>
  <si>
    <t xml:space="preserve"> - Xây dựng, cải tạo trạm y tế xã trên địa bàn huyện Lục Nam</t>
  </si>
  <si>
    <t>Ban QLDA ĐTXD CT Dân dụng và CN, BQLDAĐTXD các huyện</t>
  </si>
  <si>
    <t>Xóa mù chữ cho người dân vùng đồng bào dân tộc thiểu số</t>
  </si>
  <si>
    <t>Bồi dưỡng kiến thức dân tộc, tiếng dân tộc</t>
  </si>
  <si>
    <t>Sở Lao động - Thương binh và Xã hội</t>
  </si>
  <si>
    <t>Tuyên truyền phổ hiến pháp luật, tổ chức phiên giao dịch việc làm, đào tạo lao động đi làm việc nước ngoài</t>
  </si>
  <si>
    <t>Tuyên truyền phổ hiến pháp luật, hỗ trợ đào tạo sơ cấp và chương trình đào tạo dưới 3 tháng</t>
  </si>
  <si>
    <t>Mua sắm trang thiết bị</t>
  </si>
  <si>
    <t>Khảo sát, sưu tầm, lưu trữ, trưng bày di sản văn hóa truyền thống dân tộc Tày, Nùng; hỗ trợ nghệ nhân người dân tộc thiểu số</t>
  </si>
  <si>
    <t>Bảo tồn, phát huy giá trị văn hóa truyền thống tốt đẹp của các dân tộc thiểu số gắn với phát triển du lịch trên địa bàn huyện Sơn Động</t>
  </si>
  <si>
    <t>Bảo tồn, phát huy giá trị văn hóa truyền thống tốt đẹp của các dân tộc thiểu số gắn với phát triển du lịch trên địa bàn huyện Lục Ngạn</t>
  </si>
  <si>
    <t>Bảo tồn, phát huy giá trị văn hóa truyền thống tốt đẹp của các dân tộc thiểu số gắn với phát triển du lịch trên địa bàn huyện Lục Nam</t>
  </si>
  <si>
    <t>Thực hiện bình đẳng giới và giải quyết những vấn đề cấp thiết đối với phụ nữ và trẻ em trên địa bàn huyện Sơn Động</t>
  </si>
  <si>
    <t>Thực hiện bình đẳng giới và giải quyết những vấn đề cấp thiết đối với phụ nữ và trẻ em trên địa bàn huyện Lục Ngạn</t>
  </si>
  <si>
    <t>Thực hiện bình đẳng giới và giải quyết những vấn đề cấp thiết đối với phụ nữ và trẻ em trên địa bàn huyện Lục Nam</t>
  </si>
  <si>
    <t>Thực hiện bình đẳng giới và giải quyết những vấn đề cấp thiết đối với phụ nữ và trẻ em trên địa bàn huyện Yên Thế</t>
  </si>
  <si>
    <t xml:space="preserve">Thực hiện bình đẳng giới và giải quyết những vấn đề cấp thiết đối với phụ nữ và trẻ em </t>
  </si>
  <si>
    <t xml:space="preserve"> Giảm thiểu tình trạng tảo hôn và hôn nhân cận huyết thống </t>
  </si>
  <si>
    <t xml:space="preserve">Tiểu dự  án 2:  Ứng dụng công nghệ thông tin hỗ trợ phát triển kinh tế - xã hội và đảm bảo an ninh trật tự vùng đồng bào dân tộc thiểu số và miền núi </t>
  </si>
  <si>
    <t>Kiểm tra, giám sát, đánh giá, việc tổ chức thực hiện Chương trình</t>
  </si>
  <si>
    <t xml:space="preserve"> Sở Y tế</t>
  </si>
  <si>
    <t xml:space="preserve"> Hội liên hiệp phụ tỉnh</t>
  </si>
  <si>
    <t xml:space="preserve"> Sở Văn hóa, Thể thao và Du Lịch</t>
  </si>
  <si>
    <t xml:space="preserve"> Ban Dân tộc</t>
  </si>
  <si>
    <t>Hỗ trợ đất ở, nhà ở</t>
  </si>
  <si>
    <t xml:space="preserve">Ban QL bảo tồn Tây Yên Tử; các Ban QL rừng phòng hộ, các hạt kiểm lâm huyện </t>
  </si>
  <si>
    <t xml:space="preserve"> * Hỗ trợ phát triển sản xuất theo chuỗi giá trị; thúc đẩy khởi sự kinh doanh, khởi nghiệp và thu hút đầu tư</t>
  </si>
  <si>
    <t xml:space="preserve"> * Đầu tư, hỗ trợ phát triển vùng trồng dược liệu quý trên địa bàn huyện Sơn Động</t>
  </si>
  <si>
    <t>UBND huyện Sơn Động; UBND các xã</t>
  </si>
  <si>
    <t>Ban QLDA ĐTXD các huyện Sơn Động, Lục Ngạn, Lục Nam, Yên Thế</t>
  </si>
  <si>
    <t>Ghi chú:</t>
  </si>
  <si>
    <t xml:space="preserve">             - UBND huyện giao kế hoạch chi tiết danh mục công trình và các dự án, mô hình</t>
  </si>
  <si>
    <t>Đầu tư trường phổ thông dân tộc bán trú, trường phổ thông dân tộc nội trú</t>
  </si>
  <si>
    <t>Đầu tư cơ sở vật chất phục vụ chuyển đổi số và xóa mù chữ</t>
  </si>
  <si>
    <t>Đầu tư CSVC chuyển đổi số trong giáo dục và đào tạo phục vụ giảng dạy và học tập trực tuyến cho học sinh dân tộc thiểu số</t>
  </si>
  <si>
    <t>Hỗ trợ đóng tiền học phí, chi phí sinh hoạt học tập… cho sinh viên học đại học của huyện Sơn Động</t>
  </si>
  <si>
    <t>Hỗ trợ đóng tiền học phí, chi phí sinh hoạt học tập… cho sinh viên học đại học của huyện Lục Ngạn</t>
  </si>
  <si>
    <t>Hỗ trợ đóng tiền học phí, chi phí sinh hoạt học tập… cho sinh viên học đại học của huyện Lục Nam</t>
  </si>
  <si>
    <t>Hỗ trợ đóng tiền học phí, chi phí sinh hoạt học tập… cho sinh viên học đại học của huyện Yên Thế</t>
  </si>
  <si>
    <t>Hỗ trợ đóng tiền học phí, chi phí sinh hoạt học tập… cho sinh viên học đại học của huyện Lạng Giang</t>
  </si>
  <si>
    <t>Bảo tồn, phát huy giá trị văn hóa truyền thống tốt đẹp của các dân tộc thiểu số gắn với phát triển du lịch; tu bổ, tôn tạo chống xuống cấp di tích quốc gia đặc biệt, di tích quốc gia có giá trị tiêu biểu của các dân tộc thiểu số trên địa bàn huyện Yên Thế</t>
  </si>
  <si>
    <t>Chăm sóc sức khỏe nhân dân, nâng cao thể trạng, tầm vóc người dân tộc thiểu số; phòng chống suy dinh dưỡng trẻ em trên địa bàn huyện Sơn Động</t>
  </si>
  <si>
    <t>Chăm sóc sức khỏe nhân dân, nâng cao thể trạng, tầm vóc người dân tộc thiểu số; phòng chống suy dinh dưỡng trẻ em trên địa bàn huyện Lục Nam</t>
  </si>
  <si>
    <t>Chăm sóc sức khỏe nhân dân, nâng cao thể trạng, tầm vóc người dân tộc thiểu số; phòng chống suy dinh dưỡng trẻ em trên địa bàn huyện Lục Ngạn</t>
  </si>
  <si>
    <t>Chăm sóc sức khỏe nhân dân, nâng cao thể trạng, tầm vóc người dân tộc thiểu số; phòng chống suy dinh dưỡng trẻ em trên địa bàn huyện Yên Thế</t>
  </si>
  <si>
    <t>Chăm sóc sức khỏe nhân dân, nâng cao thể trạng, tầm vóc người dân tộc thiểu số; phòng chống suy dinh dưỡng trẻ em trên địa bàn huyện Lạng Giang</t>
  </si>
  <si>
    <t xml:space="preserve"> DỰ KIẾN DANH MỤC DỰ ÁN ĐẦU TƯ CHƯƠNG TRÌNH MỤC TIÊU QUỐC GIA </t>
  </si>
  <si>
    <t>Chủ đầu tư/Đơn vị chủ trì thực hiện</t>
  </si>
  <si>
    <t>Tổng mức đầu tư</t>
  </si>
  <si>
    <t>Dự án quy hoạch, sắp xếp, bố trí ổn định dân cư tại thôn Đồng Bài, thôn Nà Trắng, xã An Lạc, huyện Sơn Động, tỉnh Bắc Giang</t>
  </si>
  <si>
    <t>UBND hyện Sơn Động</t>
  </si>
  <si>
    <t xml:space="preserve"> xã An Lạc, huyện Sơn Động</t>
  </si>
  <si>
    <t xml:space="preserve"> Dự án bố trí, sắp xếp ổn định dân cư tại chỗ các thôn, bản: Tràng Bắn, Đồng Đảng, Thái Hà, La Xa,  Bình Minh, xã Đồng Vương, huyện Yên Thế</t>
  </si>
  <si>
    <t>UBND hyện Yên Thế</t>
  </si>
  <si>
    <t>Xã 
Đồng Vương, huyện Yên Thế</t>
  </si>
  <si>
    <t xml:space="preserve"> -Dự án đầu tư xây dựng đường dẫn và cầu Suối Xả, xã Cẩm Đàn, huyện Sơn Động,</t>
  </si>
  <si>
    <t>BQLDA huyện Sơn Động</t>
  </si>
  <si>
    <t>Chiều dài cầu 30m; chiều dài đường 600 m</t>
  </si>
  <si>
    <t>Dự án cải tạo, nâng cấp đường vào trung tâm xã Giáo Liêm, huyện Sơn Động, tỉnh Bắc Giang</t>
  </si>
  <si>
    <t xml:space="preserve">dài 7,0km; chiều rộng nền đường 7,5m; chiều rộng mặt đường 5,5m; </t>
  </si>
  <si>
    <t>2022-2024</t>
  </si>
  <si>
    <t>Dự án cải tạo, nâng cấp đường đến trung tâm xã  Long Sơn, huyện Sơn Động (điểm đầu đấu nối với TL291 tại thôn Ninh Phú, xã Tuấn Đạo, điểm cuối đấu nối với QL279 tại xã Long Sơn)</t>
  </si>
  <si>
    <t xml:space="preserve">dài 16km; chiều rộng nền đường 7,5m; </t>
  </si>
  <si>
    <t>Dự án cải tạo, nâng cấp đường giao thông đến trung tâm xã Dương Hưu, huyện Sơn Động (điểm đầu từ đường tỉnh lộ 293 đến thôn Đồng Làng, xã Dương Hưu),</t>
  </si>
  <si>
    <t>UBND xã Dương Hưu</t>
  </si>
  <si>
    <t>Dài 1,8 km</t>
  </si>
  <si>
    <t>2023-2024</t>
  </si>
  <si>
    <t>Chuẩn bị đầu tư</t>
  </si>
  <si>
    <t>Dự án cải tạo, nâng cấp đường vào trung tâm xã An Lạc, huyện Sơn Động, tỉnh Bắc Giang</t>
  </si>
  <si>
    <t xml:space="preserve">dài 12km; rộng nền đường 7,5 m; chiều rộng mặt đường 7,0m; </t>
  </si>
  <si>
    <t>2023-2025</t>
  </si>
  <si>
    <t>Cải tạo, nâng cấp đường xã Sơn Hải đi xã Hộ Đáp (Đoạn 1 từ Km6+761.16 đến Km13+890, đoạn 2 từ Km18+236 đến Km26+981.60), huyện Lục Ngạn</t>
  </si>
  <si>
    <t>BQLDA huyện Lục Ngạn</t>
  </si>
  <si>
    <t xml:space="preserve">Đường cấp IV miền núi, chiều dài tuyến 15,9 km </t>
  </si>
  <si>
    <t>2022-2025</t>
  </si>
  <si>
    <t>Dự án cải tạo, nâng cấp đường giao thông từ Tân Sơn, huyện Lục Ngạn đi xã Hữu Kiên, huyện Chi Lăng, tỉnh Lạng Sơn</t>
  </si>
  <si>
    <t xml:space="preserve">Đường cấp IV miền núi, dài 11,5 km </t>
  </si>
  <si>
    <t>Cải tạo, nâng cấp đường đến TT xã Bình Sơn (đoạn từ Cầu Bình đi tỉnh lộ 289 và ngầm dân sinh)</t>
  </si>
  <si>
    <t>BQLDA huyện Lục Nam</t>
  </si>
  <si>
    <t xml:space="preserve"> đường 660 m + Ngầm 30m</t>
  </si>
  <si>
    <t>Cải tạo, nâng cấp đường đến xã Trường Sơn (đoạn từ cổng UBND xã Trường Sơn đi bản Vua Bà))</t>
  </si>
  <si>
    <t xml:space="preserve">Dài 4,4 km  </t>
  </si>
  <si>
    <t xml:space="preserve">Dự án cải tạo, nâng cấp đường xã Đồng Vương đi xã Đồng Tiến, huyện Yên Thế </t>
  </si>
  <si>
    <t>BQLDA huyện Yên THế</t>
  </si>
  <si>
    <t xml:space="preserve">Dài 2,7 km chiều rộng nền đường 7m; chiều rộng mặt đường 6 m; </t>
  </si>
  <si>
    <t>2023-
2024</t>
  </si>
  <si>
    <t>TĐNV</t>
  </si>
  <si>
    <t>1.1.1</t>
  </si>
  <si>
    <t>Đầu tư cơ sở vật chất các trường PTDTNT tỉnh, PTDTNT huyện Sơn Động, PTDTNT huyện Lục Ngạn: hạng mục Phòng ở nội trú cho HSNT;  Nhà ăn + nhà bếp;  Phòng quản lý HSNT; công trình vệ sinh, nước sạch;  Nhà sinh hoạt, giáo dục văn hóa dân tộc; Phòng học thông thường và phòng học bộ môn; các công trình phụ trợ sân chơi, bãi tập, vườn ươm cây…</t>
  </si>
  <si>
    <t>BQLDAĐTXDCTDD - CN tỉnh</t>
  </si>
  <si>
    <t>Các trường phổ thông DTNT</t>
  </si>
  <si>
    <t>1.1.2</t>
  </si>
  <si>
    <t>Dự án cải tạo, nâng cấp Trường phổ thông dân tộc nội trú huyện Yên Thế: Phòng ở nội trú cho học sinh nội trú, công trình vệ sinh, nước sạch, nhà sinh hoạt giáo dục văn hóa dân tộc, phòng học thông thường và phòng học bộ môn; các công trình phụ trợ (tường bao, lát sân...)</t>
  </si>
  <si>
    <t>TTĐ NV</t>
  </si>
  <si>
    <t>1.1.3</t>
  </si>
  <si>
    <t>Cải tạo, nâng cấp Trường phổ thông dân tộc nội trú huyện Lục Nam: hạng mục: Nhà nội trú học sinh, nhà ăn nhà bếp, phòng quản lý học sinh, bộ môn và phòng học phổ thông, nhà sinh hoạt giáo dục dân tộc, công trình nước, các CT phụ trợ…</t>
  </si>
  <si>
    <t>2021-2023</t>
  </si>
  <si>
    <t>1.1.4</t>
  </si>
  <si>
    <t>Dự án cải tạo, nâng cấp Trường PTDTBT THCS Sơn Hải, huyện Lục Ngạn; hạng mục: Nhà lớp học 4 tầng, nhà hiệu bộ 4 tầng, nhà công vụ giáo viên 02 tầng và các công trình phụ trợ.</t>
  </si>
  <si>
    <t>1.1.5</t>
  </si>
  <si>
    <t>Cải tạo, nâng cấp Trường PTDTBT THCS Hộ Đáp: hạng mục: Nhà lớp học, nhà vệ sinh học sinh; Phòng chức năng 2 tầng; Bờ kè sân bán trú, lan can bờ sân, sân bê tông, vành lao bao quanh; Nhà ăn bán trú, phòng trực quản sinh.</t>
  </si>
  <si>
    <t>1.1.6</t>
  </si>
  <si>
    <t>Cải tạo, nâng cấp Trường PTDTBT THCS xã An Lạc: Cải tạo, nâng cấp Trường PTDTBT THCS xã An Lạc, huyện Sơn Động, tỉnh Bắc Giang. (Hạng mục: Xây dựng mới nhà lớp học, nhà ở bán trú học sinh và các công trình phụ trợ…)</t>
  </si>
  <si>
    <t>1.1.7</t>
  </si>
  <si>
    <t>Cải tạo, nâng cấp Trường PTDTBT THCS xã Dương Hưu, huyện Sơn Động, tỉnh Bắc Giang. (Hạng mục: Xây dựng nhà lớp học, nhà ở học sinh bán trú và các công trình phụ trợ)</t>
  </si>
  <si>
    <t>Tiểu dự án 3: Dự án phát triển giáo dục nghề nghiệp và giải quyết việc làm cho thanh niên dân tộc thiểu số và miền núi</t>
  </si>
  <si>
    <t>Dự án mua sắm trang thiết bị đào tạo nghề</t>
  </si>
  <si>
    <t>Trung tâm GDNN-GDTX huyện Lục Ngạn</t>
  </si>
  <si>
    <t>Thiết lập các điểm hỗ trợ đồng bào dân tộc thiểu số ứng dụng công nghệ thông tin tại UBND các xã để phục vụ phát triển kinh tế - xã hội và đảm bảo an ninh trật tự.</t>
  </si>
  <si>
    <t>KẾ HOẠCH VỐN GIAO CHO UBND CÁC HUYỆN, XÃ THỰC HIỆN</t>
  </si>
  <si>
    <t>TỔNG SỐ</t>
  </si>
  <si>
    <t>Tăng cường, nâng cao khả năng tiếp cận và thụ hưởng hoạt động trợ giúp pháp lý chất lượng cho vùng đồng bào DTTS&amp;MN</t>
  </si>
  <si>
    <t xml:space="preserve">Biểu dương, tôn vinh điển hình tiên tiến, phát huy vai trò của người có uy tín; Phổ biến, giáo dục pháp luật và tuyên truyền, vận động đồng bào DTTS </t>
  </si>
  <si>
    <t>Sự nghệp giáo dục</t>
  </si>
  <si>
    <t xml:space="preserve">Sự nghiệp kinh tế </t>
  </si>
  <si>
    <t>Sự nghiệp văn hóa thông tin</t>
  </si>
  <si>
    <t>Sự nghiệp đảm bảo xã hội</t>
  </si>
  <si>
    <t>Sự nghiệp Y tế</t>
  </si>
  <si>
    <t>Hỗ trợ đất sản xuất, chuyển đổi nghề</t>
  </si>
  <si>
    <t>thừa 1 triệu so định mức</t>
  </si>
  <si>
    <t>Vốn sự nghiệp kinh tế</t>
  </si>
  <si>
    <t xml:space="preserve">             - Vốn Dự án 4 đã bao gồm cả vốn cải tạo, nâng cấp trạm y tế (xã Cẩm Đàn, xã Đại Sơn, xã Vô Tranh), chợ (xã Dương Hưu, xã Cấm Sơn, xã Bình Sơn, xã Vô Tranh, xã Canh Nậu)</t>
  </si>
  <si>
    <t>Sở LĐTB và XH; UBND các huyện; các cơ sở đào tạo nghề</t>
  </si>
  <si>
    <t>Sở VHTT và DL; UBND các huyện, xã</t>
  </si>
  <si>
    <t>Biểu dương, tôn vinh, thăm hỏi, tặng quà; tuyên truyền</t>
  </si>
  <si>
    <t>Cứng hóa đường giao thông đến trung tâm xã, liên xã</t>
  </si>
  <si>
    <t xml:space="preserve"> * Dự án đầu tư xây dựng đường dẫn và cầu Suối Xả, xã Cẩm Đàn, huyện Sơn Động</t>
  </si>
  <si>
    <t>(Kèm theo Kế hoạch  số:        /KH-UBND  ngày        /7/2022 của UBND tỉnh Bắc Giang)</t>
  </si>
  <si>
    <t>Vốn tín dụng</t>
  </si>
  <si>
    <t>Ngân sách huyện, xã và vốn huy động khác</t>
  </si>
  <si>
    <t xml:space="preserve"> TỔNG HỢP KẾ HOẠCH VỐN THỰC HIỆN CHƯƠNG TRÌNH MỤC TIÊU QUỐC GIA PHÁT TRIỂN KINH TẾ-XÃ HỘI VÙNG ĐỒNG BÀO DÂN TỘC THIỂU SỐ VÀ MIỀN NÚI TỈNH BẮC GIANG NĂM 2022</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</si>
</sst>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_(* #,##0.000_);_(* \(#,##0.000\);_(* &quot;-&quot;??_);_(@_)"/>
    <numFmt numFmtId="185" formatCode="_(* #,##0.0000_);_(* \(#,##0.0000\);_(* &quot;-&quot;??_);_(@_)"/>
    <numFmt numFmtId="186" formatCode="_(* #,##0.0_);_(* \(#,##0.0\);_(* &quot;-&quot;??_);_(@_)"/>
    <numFmt numFmtId="187" formatCode="_(* #,##0_);_(* \(#,##0\);_(* &quot;-&quot;??_);_(@_)"/>
    <numFmt numFmtId="188" formatCode="0.000000"/>
    <numFmt numFmtId="189" formatCode="0.00000"/>
    <numFmt numFmtId="190" formatCode="0.0000"/>
    <numFmt numFmtId="191" formatCode="0.000"/>
    <numFmt numFmtId="192" formatCode="0.0000000"/>
    <numFmt numFmtId="193" formatCode="0.0"/>
    <numFmt numFmtId="194" formatCode="#.##"/>
    <numFmt numFmtId="195" formatCode="#.#"/>
    <numFmt numFmtId="196" formatCode="#,##0.0"/>
    <numFmt numFmtId="197" formatCode="#,##0.000"/>
  </numFmts>
  <fonts count="92">
    <font>
      <sz val="12"/>
      <name val="Times New Roman"/>
      <family val="0"/>
    </font>
    <font>
      <b/>
      <sz val="14"/>
      <name val="Times New Roman"/>
      <family val="1"/>
    </font>
    <font>
      <sz val="8"/>
      <name val="Times New Roman"/>
      <family val="1"/>
    </font>
    <font>
      <b/>
      <sz val="12"/>
      <name val="Times New Roman"/>
      <family val="1"/>
    </font>
    <font>
      <u val="single"/>
      <sz val="12"/>
      <color indexed="12"/>
      <name val="Times New Roman"/>
      <family val="1"/>
    </font>
    <font>
      <u val="single"/>
      <sz val="12"/>
      <color indexed="36"/>
      <name val="Times New Roman"/>
      <family val="1"/>
    </font>
    <font>
      <sz val="11"/>
      <color indexed="8"/>
      <name val="Calibri"/>
      <family val="2"/>
    </font>
    <font>
      <sz val="10"/>
      <name val="Arial"/>
      <family val="2"/>
    </font>
    <font>
      <b/>
      <sz val="11"/>
      <name val="Times New Roman"/>
      <family val="1"/>
    </font>
    <font>
      <b/>
      <sz val="13"/>
      <name val="Times New Roman"/>
      <family val="1"/>
    </font>
    <font>
      <sz val="13"/>
      <name val="Times New Roman"/>
      <family val="1"/>
    </font>
    <font>
      <i/>
      <sz val="14"/>
      <name val="Times New Roman"/>
      <family val="1"/>
    </font>
    <font>
      <sz val="14"/>
      <name val="Times New Roman"/>
      <family val="1"/>
    </font>
    <font>
      <sz val="11"/>
      <name val="Times New Roman"/>
      <family val="1"/>
    </font>
    <font>
      <sz val="10"/>
      <name val="Times New Roman"/>
      <family val="1"/>
    </font>
    <font>
      <i/>
      <sz val="10"/>
      <name val="Times New Roman"/>
      <family val="1"/>
    </font>
    <font>
      <b/>
      <sz val="10"/>
      <name val="Times New Roman"/>
      <family val="1"/>
    </font>
    <font>
      <sz val="12"/>
      <color indexed="10"/>
      <name val="Times New Roman"/>
      <family val="1"/>
    </font>
    <font>
      <b/>
      <sz val="9"/>
      <name val="Times New Roman"/>
      <family val="1"/>
    </font>
    <font>
      <sz val="9"/>
      <name val="Times New Roman"/>
      <family val="1"/>
    </font>
    <font>
      <b/>
      <i/>
      <sz val="10"/>
      <name val="Times New Roman"/>
      <family val="1"/>
    </font>
    <font>
      <sz val="12"/>
      <color indexed="8"/>
      <name val="Times New Roman"/>
      <family val="1"/>
    </font>
    <font>
      <i/>
      <sz val="12"/>
      <color indexed="8"/>
      <name val="Times New Roman"/>
      <family val="1"/>
    </font>
    <font>
      <i/>
      <sz val="12"/>
      <name val="Times New Roman"/>
      <family val="1"/>
    </font>
    <font>
      <b/>
      <sz val="8"/>
      <name val="Times New Roman"/>
      <family val="1"/>
    </font>
    <font>
      <sz val="16"/>
      <name val="Times New Roman"/>
      <family val="1"/>
    </font>
    <font>
      <b/>
      <sz val="7"/>
      <name val="Times New Roman"/>
      <family val="1"/>
    </font>
    <font>
      <sz val="7"/>
      <name val="Times New Roman"/>
      <family val="1"/>
    </font>
    <font>
      <sz val="9"/>
      <name val="Tahoma"/>
      <family val="2"/>
    </font>
    <font>
      <b/>
      <sz val="9"/>
      <name val="Tahoma"/>
      <family val="2"/>
    </font>
    <font>
      <i/>
      <sz val="14"/>
      <color indexed="8"/>
      <name val="Times New Roman"/>
      <family val="1"/>
    </font>
    <font>
      <sz val="12"/>
      <name val=".VnTime"/>
      <family val="2"/>
    </font>
    <font>
      <b/>
      <i/>
      <sz val="12"/>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4"/>
      <name val="Times New Roman"/>
      <family val="2"/>
    </font>
    <font>
      <b/>
      <sz val="13"/>
      <color indexed="54"/>
      <name val="Times New Roman"/>
      <family val="2"/>
    </font>
    <font>
      <b/>
      <sz val="11"/>
      <color indexed="54"/>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8"/>
      <color indexed="54"/>
      <name val="Calibri Light"/>
      <family val="2"/>
    </font>
    <font>
      <b/>
      <sz val="12"/>
      <color indexed="8"/>
      <name val="Times New Roman"/>
      <family val="2"/>
    </font>
    <font>
      <b/>
      <sz val="13"/>
      <color indexed="10"/>
      <name val="Times New Roman"/>
      <family val="1"/>
    </font>
    <font>
      <b/>
      <sz val="12"/>
      <color indexed="10"/>
      <name val="Times New Roman"/>
      <family val="1"/>
    </font>
    <font>
      <sz val="13"/>
      <color indexed="10"/>
      <name val="Times New Roman"/>
      <family val="1"/>
    </font>
    <font>
      <b/>
      <sz val="11"/>
      <color indexed="10"/>
      <name val="Times New Roman"/>
      <family val="1"/>
    </font>
    <font>
      <sz val="10"/>
      <color indexed="8"/>
      <name val="Times New Roman"/>
      <family val="1"/>
    </font>
    <font>
      <sz val="9"/>
      <color indexed="8"/>
      <name val="Times New Roman"/>
      <family val="1"/>
    </font>
    <font>
      <b/>
      <sz val="10"/>
      <color indexed="8"/>
      <name val="Times New Roman"/>
      <family val="1"/>
    </font>
    <font>
      <sz val="10"/>
      <color indexed="10"/>
      <name val="Times New Roman"/>
      <family val="1"/>
    </font>
    <font>
      <sz val="11"/>
      <name val="Calibri"/>
      <family val="2"/>
    </font>
    <font>
      <sz val="10"/>
      <name val="Calibri"/>
      <family val="2"/>
    </font>
    <font>
      <sz val="11"/>
      <color indexed="8"/>
      <name val="Times New Roman"/>
      <family val="1"/>
    </font>
    <font>
      <sz val="14"/>
      <color indexed="8"/>
      <name val="Times New Roman"/>
      <family val="1"/>
    </font>
    <font>
      <b/>
      <sz val="14"/>
      <color indexed="8"/>
      <name val="Times New Roman"/>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sz val="18"/>
      <color theme="3"/>
      <name val="Calibri Light"/>
      <family val="2"/>
    </font>
    <font>
      <b/>
      <sz val="12"/>
      <color theme="1"/>
      <name val="Times New Roman"/>
      <family val="2"/>
    </font>
    <font>
      <sz val="12"/>
      <color rgb="FFFF0000"/>
      <name val="Times New Roman"/>
      <family val="2"/>
    </font>
    <font>
      <b/>
      <sz val="13"/>
      <color rgb="FFFF0000"/>
      <name val="Times New Roman"/>
      <family val="1"/>
    </font>
    <font>
      <b/>
      <sz val="12"/>
      <color rgb="FFFF0000"/>
      <name val="Times New Roman"/>
      <family val="1"/>
    </font>
    <font>
      <sz val="13"/>
      <color rgb="FFFF0000"/>
      <name val="Times New Roman"/>
      <family val="1"/>
    </font>
    <font>
      <b/>
      <sz val="11"/>
      <color rgb="FFFF0000"/>
      <name val="Times New Roman"/>
      <family val="1"/>
    </font>
    <font>
      <sz val="10"/>
      <color theme="1"/>
      <name val="Times New Roman"/>
      <family val="1"/>
    </font>
    <font>
      <sz val="9"/>
      <color theme="1"/>
      <name val="Times New Roman"/>
      <family val="1"/>
    </font>
    <font>
      <sz val="12"/>
      <color rgb="FF000000"/>
      <name val="Times New Roman"/>
      <family val="1"/>
    </font>
    <font>
      <i/>
      <sz val="12"/>
      <color rgb="FF000000"/>
      <name val="Times New Roman"/>
      <family val="1"/>
    </font>
    <font>
      <b/>
      <sz val="10"/>
      <color theme="1"/>
      <name val="Times New Roman"/>
      <family val="1"/>
    </font>
    <font>
      <sz val="10"/>
      <color rgb="FFFF0000"/>
      <name val="Times New Roman"/>
      <family val="1"/>
    </font>
    <font>
      <sz val="11"/>
      <color theme="1"/>
      <name val="Times New Roman"/>
      <family val="1"/>
    </font>
    <font>
      <sz val="14"/>
      <color theme="1"/>
      <name val="Times New Roman"/>
      <family val="1"/>
    </font>
    <font>
      <b/>
      <sz val="14"/>
      <color theme="1"/>
      <name val="Times New Roman"/>
      <family val="1"/>
    </font>
    <font>
      <sz val="14"/>
      <color rgb="FF00000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rgb="FFFFC000"/>
        <bgColor indexed="64"/>
      </patternFill>
    </fill>
    <fill>
      <patternFill patternType="solid">
        <fgColor theme="0" tint="-0.3499799966812134"/>
        <bgColor indexed="64"/>
      </patternFill>
    </fill>
    <fill>
      <patternFill patternType="solid">
        <fgColor rgb="FF92D050"/>
        <bgColor indexed="64"/>
      </patternFill>
    </fill>
    <fill>
      <patternFill patternType="solid">
        <fgColor rgb="FFFF0000"/>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top/>
      <bottom style="thin"/>
    </border>
    <border>
      <left>
        <color indexed="63"/>
      </left>
      <right style="thin"/>
      <top style="thin"/>
      <bottom style="thin"/>
    </border>
    <border>
      <left style="thin"/>
      <right style="thin"/>
      <top style="thin"/>
      <bottom>
        <color indexed="63"/>
      </bottom>
    </border>
    <border>
      <left style="double"/>
      <right style="thin"/>
      <top style="thin"/>
      <bottom style="thin"/>
    </border>
    <border>
      <left style="thin"/>
      <right style="thin"/>
      <top>
        <color indexed="63"/>
      </top>
      <bottom>
        <color indexed="63"/>
      </bottom>
    </border>
    <border>
      <left/>
      <right/>
      <top style="thin"/>
      <bottom style="thin"/>
    </border>
    <border>
      <left style="medium"/>
      <right>
        <color indexed="63"/>
      </right>
      <top>
        <color indexed="63"/>
      </top>
      <bottom style="mediu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right style="thin"/>
      <top/>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5"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4"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0" borderId="0">
      <alignment/>
      <protection/>
    </xf>
    <xf numFmtId="0" fontId="0" fillId="0" borderId="0">
      <alignment/>
      <protection/>
    </xf>
    <xf numFmtId="0" fontId="7" fillId="0" borderId="0">
      <alignment/>
      <protection/>
    </xf>
    <xf numFmtId="0" fontId="31" fillId="0" borderId="0">
      <alignment/>
      <protection/>
    </xf>
    <xf numFmtId="0" fontId="6" fillId="0" borderId="0" applyFill="0" applyProtection="0">
      <alignment/>
    </xf>
    <xf numFmtId="0" fontId="0" fillId="0" borderId="0">
      <alignment/>
      <protection/>
    </xf>
    <xf numFmtId="0" fontId="6"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910">
    <xf numFmtId="0" fontId="0" fillId="0" borderId="0" xfId="0" applyAlignment="1">
      <alignment/>
    </xf>
    <xf numFmtId="0" fontId="3" fillId="0" borderId="0" xfId="0" applyFont="1" applyAlignment="1">
      <alignment/>
    </xf>
    <xf numFmtId="0" fontId="3" fillId="0" borderId="10" xfId="0" applyFont="1" applyBorder="1" applyAlignment="1">
      <alignment horizontal="center" vertical="center" wrapText="1"/>
    </xf>
    <xf numFmtId="0" fontId="0" fillId="0" borderId="0" xfId="0" applyFill="1" applyAlignment="1">
      <alignment/>
    </xf>
    <xf numFmtId="0" fontId="0" fillId="0" borderId="0" xfId="0" applyFont="1" applyAlignment="1">
      <alignment/>
    </xf>
    <xf numFmtId="3" fontId="3" fillId="0" borderId="10" xfId="0" applyNumberFormat="1" applyFont="1" applyBorder="1" applyAlignment="1">
      <alignment horizontal="center" vertical="center" wrapText="1"/>
    </xf>
    <xf numFmtId="4" fontId="3" fillId="0" borderId="10" xfId="0" applyNumberFormat="1" applyFont="1" applyFill="1" applyBorder="1" applyAlignment="1">
      <alignment horizontal="center" vertical="center" wrapText="1"/>
    </xf>
    <xf numFmtId="0" fontId="8" fillId="0" borderId="0" xfId="0" applyFont="1" applyAlignment="1">
      <alignment/>
    </xf>
    <xf numFmtId="0" fontId="9" fillId="0" borderId="10" xfId="0" applyFont="1" applyBorder="1" applyAlignment="1">
      <alignment/>
    </xf>
    <xf numFmtId="0" fontId="9" fillId="0" borderId="10" xfId="0" applyFont="1" applyBorder="1" applyAlignment="1">
      <alignment horizontal="center" vertical="center" wrapText="1"/>
    </xf>
    <xf numFmtId="0" fontId="9" fillId="0" borderId="10" xfId="0" applyFont="1" applyBorder="1" applyAlignment="1">
      <alignment vertical="center" wrapText="1"/>
    </xf>
    <xf numFmtId="3" fontId="9" fillId="0" borderId="10" xfId="0" applyNumberFormat="1" applyFont="1" applyBorder="1" applyAlignment="1">
      <alignment horizontal="center" vertical="center" wrapText="1"/>
    </xf>
    <xf numFmtId="4" fontId="9"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vertical="center" wrapText="1"/>
    </xf>
    <xf numFmtId="3" fontId="10" fillId="0" borderId="10" xfId="0" applyNumberFormat="1" applyFont="1" applyBorder="1" applyAlignment="1">
      <alignment horizontal="center" vertical="center" wrapText="1"/>
    </xf>
    <xf numFmtId="4" fontId="10" fillId="0" borderId="10" xfId="0" applyNumberFormat="1" applyFont="1" applyBorder="1" applyAlignment="1">
      <alignment horizontal="center" vertical="center" wrapText="1"/>
    </xf>
    <xf numFmtId="0" fontId="9" fillId="0" borderId="10" xfId="0" applyFont="1" applyBorder="1" applyAlignment="1">
      <alignment horizontal="center"/>
    </xf>
    <xf numFmtId="0" fontId="10" fillId="0" borderId="10" xfId="0" applyFont="1" applyBorder="1" applyAlignment="1">
      <alignment horizontal="center"/>
    </xf>
    <xf numFmtId="0" fontId="10" fillId="0" borderId="10" xfId="0" applyFont="1" applyBorder="1" applyAlignment="1">
      <alignment/>
    </xf>
    <xf numFmtId="3" fontId="10" fillId="0" borderId="10" xfId="42" applyNumberFormat="1" applyFont="1" applyBorder="1" applyAlignment="1">
      <alignment horizontal="center"/>
    </xf>
    <xf numFmtId="3" fontId="10" fillId="0" borderId="10" xfId="0" applyNumberFormat="1" applyFont="1" applyBorder="1" applyAlignment="1">
      <alignment horizontal="center"/>
    </xf>
    <xf numFmtId="0" fontId="10" fillId="0" borderId="10" xfId="0" applyFont="1" applyFill="1" applyBorder="1" applyAlignment="1">
      <alignment horizontal="center"/>
    </xf>
    <xf numFmtId="0" fontId="10" fillId="0" borderId="10" xfId="0" applyFont="1" applyBorder="1" applyAlignment="1">
      <alignment vertical="center"/>
    </xf>
    <xf numFmtId="3" fontId="10" fillId="0" borderId="10" xfId="0" applyNumberFormat="1" applyFont="1" applyFill="1" applyBorder="1" applyAlignment="1">
      <alignment horizontal="center" vertical="center" wrapText="1"/>
    </xf>
    <xf numFmtId="3" fontId="10" fillId="0" borderId="10" xfId="63" applyNumberFormat="1" applyFont="1" applyBorder="1" applyAlignment="1">
      <alignment horizontal="center" wrapText="1"/>
      <protection/>
    </xf>
    <xf numFmtId="3" fontId="9" fillId="0" borderId="10" xfId="0" applyNumberFormat="1" applyFont="1" applyBorder="1" applyAlignment="1">
      <alignment horizontal="center"/>
    </xf>
    <xf numFmtId="0" fontId="10" fillId="0" borderId="10" xfId="57" applyFont="1" applyFill="1" applyBorder="1" applyAlignment="1">
      <alignment horizontal="center"/>
      <protection/>
    </xf>
    <xf numFmtId="0" fontId="10" fillId="33" borderId="10" xfId="57" applyFont="1" applyFill="1" applyBorder="1" applyAlignment="1">
      <alignment vertical="center" wrapText="1"/>
      <protection/>
    </xf>
    <xf numFmtId="3" fontId="10" fillId="0" borderId="10" xfId="58" applyNumberFormat="1" applyFont="1" applyFill="1" applyBorder="1" applyAlignment="1">
      <alignment horizontal="center" wrapText="1"/>
      <protection/>
    </xf>
    <xf numFmtId="3" fontId="10" fillId="0" borderId="10" xfId="57" applyNumberFormat="1" applyFont="1" applyFill="1" applyBorder="1" applyAlignment="1">
      <alignment horizontal="center"/>
      <protection/>
    </xf>
    <xf numFmtId="2" fontId="10" fillId="0" borderId="10" xfId="57" applyNumberFormat="1" applyFont="1" applyFill="1" applyBorder="1" applyAlignment="1">
      <alignment horizontal="center"/>
      <protection/>
    </xf>
    <xf numFmtId="1" fontId="10" fillId="0" borderId="10" xfId="57" applyNumberFormat="1" applyFont="1" applyFill="1" applyBorder="1" applyAlignment="1">
      <alignment horizontal="center"/>
      <protection/>
    </xf>
    <xf numFmtId="3" fontId="10" fillId="0" borderId="10" xfId="0" applyNumberFormat="1" applyFont="1" applyFill="1" applyBorder="1" applyAlignment="1">
      <alignment horizontal="center" vertical="center"/>
    </xf>
    <xf numFmtId="0" fontId="10" fillId="0" borderId="10" xfId="0" applyFont="1" applyFill="1" applyBorder="1" applyAlignment="1">
      <alignment/>
    </xf>
    <xf numFmtId="3" fontId="10" fillId="0" borderId="10" xfId="0" applyNumberFormat="1" applyFont="1" applyFill="1" applyBorder="1" applyAlignment="1">
      <alignment horizontal="center"/>
    </xf>
    <xf numFmtId="2" fontId="10" fillId="0" borderId="10" xfId="0" applyNumberFormat="1" applyFont="1" applyFill="1" applyBorder="1" applyAlignment="1">
      <alignment horizontal="center"/>
    </xf>
    <xf numFmtId="0" fontId="10" fillId="0" borderId="10" xfId="0" applyFont="1" applyFill="1" applyBorder="1" applyAlignment="1">
      <alignment horizontal="center" vertical="center" wrapText="1"/>
    </xf>
    <xf numFmtId="0" fontId="9" fillId="0" borderId="10" xfId="0" applyFont="1" applyFill="1" applyBorder="1" applyAlignment="1">
      <alignment horizontal="center"/>
    </xf>
    <xf numFmtId="0" fontId="9" fillId="0" borderId="10" xfId="0" applyFont="1" applyBorder="1" applyAlignment="1">
      <alignment horizontal="center" vertical="top" wrapText="1"/>
    </xf>
    <xf numFmtId="0" fontId="9" fillId="0" borderId="10" xfId="0" applyFont="1" applyBorder="1" applyAlignment="1">
      <alignment horizontal="justify" vertical="top" wrapText="1"/>
    </xf>
    <xf numFmtId="3" fontId="9" fillId="0" borderId="10" xfId="42" applyNumberFormat="1" applyFont="1" applyBorder="1" applyAlignment="1">
      <alignment horizontal="center" vertical="top" wrapText="1"/>
    </xf>
    <xf numFmtId="0" fontId="10" fillId="0" borderId="10" xfId="0" applyFont="1" applyBorder="1" applyAlignment="1">
      <alignment horizontal="center" vertical="top" wrapText="1"/>
    </xf>
    <xf numFmtId="3" fontId="9" fillId="0" borderId="10" xfId="42" applyNumberFormat="1" applyFont="1" applyBorder="1" applyAlignment="1">
      <alignment horizontal="center"/>
    </xf>
    <xf numFmtId="0" fontId="10" fillId="0" borderId="10" xfId="0" applyFont="1" applyBorder="1" applyAlignment="1">
      <alignment horizontal="left" vertical="center" wrapText="1"/>
    </xf>
    <xf numFmtId="0" fontId="10" fillId="0" borderId="10" xfId="63" applyFont="1" applyBorder="1" applyAlignment="1">
      <alignment horizontal="left" vertical="center"/>
      <protection/>
    </xf>
    <xf numFmtId="3" fontId="10" fillId="33" borderId="10" xfId="0" applyNumberFormat="1" applyFont="1" applyFill="1" applyBorder="1" applyAlignment="1">
      <alignment horizontal="center"/>
    </xf>
    <xf numFmtId="3" fontId="10" fillId="0" borderId="10" xfId="0" applyNumberFormat="1" applyFont="1" applyBorder="1" applyAlignment="1">
      <alignment horizontal="center" vertical="center"/>
    </xf>
    <xf numFmtId="3" fontId="9" fillId="0" borderId="10" xfId="0" applyNumberFormat="1" applyFont="1" applyBorder="1" applyAlignment="1">
      <alignment horizontal="left" vertical="center" wrapText="1"/>
    </xf>
    <xf numFmtId="0" fontId="9" fillId="0" borderId="10" xfId="0" applyFont="1" applyBorder="1" applyAlignment="1">
      <alignment horizontal="left" vertical="center" wrapText="1"/>
    </xf>
    <xf numFmtId="2" fontId="9" fillId="0" borderId="10" xfId="0" applyNumberFormat="1" applyFont="1" applyFill="1" applyBorder="1" applyAlignment="1">
      <alignment horizontal="center" vertical="center" wrapText="1"/>
    </xf>
    <xf numFmtId="0" fontId="10" fillId="0" borderId="10" xfId="0" applyFont="1" applyBorder="1" applyAlignment="1" quotePrefix="1">
      <alignment horizontal="center" vertical="center" wrapText="1"/>
    </xf>
    <xf numFmtId="0" fontId="9" fillId="0" borderId="10" xfId="0" applyFont="1" applyBorder="1" applyAlignment="1" quotePrefix="1">
      <alignment horizontal="center" vertical="center" wrapText="1"/>
    </xf>
    <xf numFmtId="0" fontId="9" fillId="0" borderId="10" xfId="0" applyFont="1" applyBorder="1" applyAlignment="1">
      <alignment horizontal="left"/>
    </xf>
    <xf numFmtId="3" fontId="9" fillId="0" borderId="10" xfId="0" applyNumberFormat="1" applyFont="1" applyBorder="1" applyAlignment="1">
      <alignment horizontal="center" vertical="center"/>
    </xf>
    <xf numFmtId="0" fontId="9" fillId="0" borderId="10" xfId="0" applyFont="1" applyBorder="1" applyAlignment="1">
      <alignment horizontal="center" vertical="center"/>
    </xf>
    <xf numFmtId="0" fontId="9" fillId="0" borderId="10" xfId="0" applyFont="1" applyBorder="1" applyAlignment="1">
      <alignment horizontal="left" vertical="center"/>
    </xf>
    <xf numFmtId="0" fontId="10" fillId="0" borderId="10" xfId="0" applyFont="1" applyBorder="1" applyAlignment="1">
      <alignment horizontal="center" vertical="center"/>
    </xf>
    <xf numFmtId="0" fontId="10" fillId="0" borderId="10" xfId="0" applyFont="1" applyBorder="1" applyAlignment="1">
      <alignment horizontal="left" vertical="center"/>
    </xf>
    <xf numFmtId="0" fontId="9" fillId="0" borderId="11" xfId="0" applyFont="1" applyBorder="1" applyAlignment="1">
      <alignment horizontal="left"/>
    </xf>
    <xf numFmtId="0" fontId="10" fillId="0" borderId="10" xfId="0" applyFont="1" applyBorder="1" applyAlignment="1">
      <alignment horizontal="left"/>
    </xf>
    <xf numFmtId="0" fontId="10" fillId="0" borderId="12" xfId="0" applyFont="1" applyFill="1" applyBorder="1" applyAlignment="1">
      <alignment horizontal="left" vertical="center" wrapText="1"/>
    </xf>
    <xf numFmtId="3" fontId="10" fillId="0" borderId="13" xfId="0" applyNumberFormat="1" applyFont="1" applyFill="1" applyBorder="1" applyAlignment="1">
      <alignment horizontal="center" vertical="center" wrapText="1"/>
    </xf>
    <xf numFmtId="3" fontId="10" fillId="0" borderId="11" xfId="0" applyNumberFormat="1" applyFont="1" applyFill="1" applyBorder="1" applyAlignment="1">
      <alignment horizontal="center" vertical="center" wrapText="1"/>
    </xf>
    <xf numFmtId="0" fontId="10" fillId="0" borderId="10" xfId="0" applyFont="1" applyFill="1" applyBorder="1" applyAlignment="1">
      <alignment horizontal="center" vertical="top" wrapText="1"/>
    </xf>
    <xf numFmtId="0" fontId="10" fillId="0" borderId="10" xfId="0" applyFont="1" applyFill="1" applyBorder="1" applyAlignment="1">
      <alignment horizontal="justify" vertical="top" wrapText="1"/>
    </xf>
    <xf numFmtId="187" fontId="10" fillId="0" borderId="14" xfId="42" applyNumberFormat="1" applyFont="1" applyFill="1" applyBorder="1" applyAlignment="1">
      <alignment horizontal="center" vertical="top" wrapText="1"/>
    </xf>
    <xf numFmtId="4" fontId="10" fillId="0" borderId="10" xfId="0" applyNumberFormat="1" applyFont="1" applyFill="1" applyBorder="1" applyAlignment="1">
      <alignment horizontal="center" vertical="top" wrapText="1"/>
    </xf>
    <xf numFmtId="187" fontId="10" fillId="0" borderId="10" xfId="42" applyNumberFormat="1" applyFont="1" applyFill="1" applyBorder="1" applyAlignment="1">
      <alignment horizontal="center"/>
    </xf>
    <xf numFmtId="0" fontId="10" fillId="0" borderId="10" xfId="0" applyFont="1" applyFill="1" applyBorder="1" applyAlignment="1">
      <alignment horizontal="center" vertical="center"/>
    </xf>
    <xf numFmtId="0" fontId="10" fillId="0" borderId="10" xfId="0" applyFont="1" applyFill="1" applyBorder="1" applyAlignment="1">
      <alignment horizontal="left" vertical="top" wrapText="1"/>
    </xf>
    <xf numFmtId="0" fontId="10" fillId="0" borderId="10" xfId="0" applyFont="1" applyFill="1" applyBorder="1" applyAlignment="1">
      <alignment horizontal="left"/>
    </xf>
    <xf numFmtId="0" fontId="3" fillId="0" borderId="0" xfId="0" applyFont="1" applyFill="1" applyAlignment="1">
      <alignment/>
    </xf>
    <xf numFmtId="3" fontId="3" fillId="0" borderId="0" xfId="42" applyNumberFormat="1" applyFont="1" applyBorder="1" applyAlignment="1">
      <alignment horizontal="center" vertical="top" wrapText="1"/>
    </xf>
    <xf numFmtId="2" fontId="3" fillId="0" borderId="0" xfId="42" applyNumberFormat="1" applyFont="1" applyBorder="1" applyAlignment="1">
      <alignment horizontal="center" vertical="top" wrapText="1"/>
    </xf>
    <xf numFmtId="2" fontId="3" fillId="0" borderId="0" xfId="0" applyNumberFormat="1" applyFont="1" applyFill="1" applyBorder="1" applyAlignment="1">
      <alignment horizontal="center" vertical="top" wrapText="1"/>
    </xf>
    <xf numFmtId="2" fontId="3" fillId="0" borderId="0" xfId="0" applyNumberFormat="1" applyFont="1" applyBorder="1" applyAlignment="1">
      <alignment horizontal="center" vertical="top" wrapText="1"/>
    </xf>
    <xf numFmtId="3" fontId="0" fillId="0" borderId="0" xfId="0" applyNumberFormat="1" applyFont="1" applyAlignment="1">
      <alignment horizontal="center"/>
    </xf>
    <xf numFmtId="4" fontId="0" fillId="0" borderId="0" xfId="0" applyNumberFormat="1" applyFont="1" applyFill="1" applyAlignment="1">
      <alignment horizontal="center"/>
    </xf>
    <xf numFmtId="0" fontId="0" fillId="0" borderId="0" xfId="0" applyFont="1" applyAlignment="1">
      <alignment horizontal="center"/>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0" xfId="57" applyFont="1" applyFill="1" applyBorder="1" applyAlignment="1">
      <alignment horizontal="center"/>
      <protection/>
    </xf>
    <xf numFmtId="0" fontId="9" fillId="0" borderId="10" xfId="57" applyFont="1" applyFill="1" applyBorder="1">
      <alignment/>
      <protection/>
    </xf>
    <xf numFmtId="0" fontId="10" fillId="0" borderId="10" xfId="57" applyFont="1" applyFill="1" applyBorder="1">
      <alignment/>
      <protection/>
    </xf>
    <xf numFmtId="3" fontId="9" fillId="0" borderId="10" xfId="0" applyNumberFormat="1" applyFont="1" applyFill="1" applyBorder="1" applyAlignment="1">
      <alignment horizontal="center"/>
    </xf>
    <xf numFmtId="0" fontId="12" fillId="0" borderId="0" xfId="0" applyFont="1" applyAlignment="1">
      <alignment/>
    </xf>
    <xf numFmtId="3" fontId="3" fillId="0" borderId="10" xfId="0" applyNumberFormat="1" applyFont="1" applyBorder="1" applyAlignment="1">
      <alignment horizontal="center" vertical="center"/>
    </xf>
    <xf numFmtId="187" fontId="10" fillId="0" borderId="10" xfId="42" applyNumberFormat="1" applyFont="1" applyFill="1" applyBorder="1" applyAlignment="1">
      <alignment horizontal="center" vertical="center"/>
    </xf>
    <xf numFmtId="0" fontId="0" fillId="34" borderId="0" xfId="0" applyFill="1" applyAlignment="1">
      <alignment/>
    </xf>
    <xf numFmtId="0" fontId="10" fillId="34" borderId="10" xfId="0" applyFont="1" applyFill="1" applyBorder="1" applyAlignment="1">
      <alignment horizontal="center" vertical="center"/>
    </xf>
    <xf numFmtId="2" fontId="10" fillId="34" borderId="10" xfId="0" applyNumberFormat="1" applyFont="1" applyFill="1" applyBorder="1" applyAlignment="1">
      <alignment horizontal="center" vertical="center"/>
    </xf>
    <xf numFmtId="0" fontId="78" fillId="0" borderId="10" xfId="0" applyFont="1" applyBorder="1" applyAlignment="1">
      <alignment horizontal="center"/>
    </xf>
    <xf numFmtId="0" fontId="78" fillId="0" borderId="10" xfId="0" applyFont="1" applyBorder="1" applyAlignment="1">
      <alignment/>
    </xf>
    <xf numFmtId="0" fontId="79" fillId="0" borderId="0" xfId="0" applyFont="1" applyAlignment="1">
      <alignment/>
    </xf>
    <xf numFmtId="0" fontId="80" fillId="0" borderId="10" xfId="0" applyFont="1" applyBorder="1" applyAlignment="1">
      <alignment horizontal="center"/>
    </xf>
    <xf numFmtId="0" fontId="80" fillId="0" borderId="10" xfId="0" applyFont="1" applyBorder="1" applyAlignment="1">
      <alignment/>
    </xf>
    <xf numFmtId="3" fontId="80" fillId="0" borderId="10" xfId="0" applyNumberFormat="1" applyFont="1" applyBorder="1" applyAlignment="1">
      <alignment horizontal="center"/>
    </xf>
    <xf numFmtId="0" fontId="77" fillId="0" borderId="0" xfId="0" applyFont="1" applyAlignment="1">
      <alignment/>
    </xf>
    <xf numFmtId="0" fontId="0" fillId="0" borderId="10" xfId="0" applyFont="1" applyFill="1" applyBorder="1" applyAlignment="1">
      <alignment wrapText="1"/>
    </xf>
    <xf numFmtId="0" fontId="0" fillId="35" borderId="0" xfId="0" applyFill="1" applyAlignment="1">
      <alignment/>
    </xf>
    <xf numFmtId="0" fontId="0" fillId="36" borderId="0" xfId="0" applyFill="1" applyAlignment="1">
      <alignment/>
    </xf>
    <xf numFmtId="3" fontId="0" fillId="0" borderId="10" xfId="0" applyNumberFormat="1" applyFont="1" applyFill="1" applyBorder="1" applyAlignment="1">
      <alignment horizontal="left" vertical="center" wrapText="1"/>
    </xf>
    <xf numFmtId="3" fontId="0" fillId="0" borderId="10" xfId="0" applyNumberFormat="1" applyFont="1" applyFill="1" applyBorder="1" applyAlignment="1">
      <alignment horizontal="left"/>
    </xf>
    <xf numFmtId="3" fontId="0" fillId="0" borderId="10" xfId="0" applyNumberFormat="1" applyFont="1" applyFill="1" applyBorder="1" applyAlignment="1">
      <alignment/>
    </xf>
    <xf numFmtId="0" fontId="0" fillId="0" borderId="10" xfId="0" applyFont="1" applyFill="1" applyBorder="1" applyAlignment="1">
      <alignment horizontal="left" vertical="center"/>
    </xf>
    <xf numFmtId="2" fontId="79" fillId="0" borderId="10" xfId="0" applyNumberFormat="1" applyFont="1" applyFill="1" applyBorder="1" applyAlignment="1">
      <alignment horizontal="center"/>
    </xf>
    <xf numFmtId="3" fontId="79" fillId="0" borderId="0" xfId="0" applyNumberFormat="1" applyFont="1" applyAlignment="1">
      <alignment/>
    </xf>
    <xf numFmtId="3" fontId="80" fillId="0" borderId="10" xfId="42" applyNumberFormat="1" applyFont="1" applyBorder="1" applyAlignment="1">
      <alignment horizontal="center"/>
    </xf>
    <xf numFmtId="3" fontId="10"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top" wrapText="1"/>
    </xf>
    <xf numFmtId="4" fontId="9" fillId="0" borderId="10" xfId="0" applyNumberFormat="1" applyFont="1" applyFill="1" applyBorder="1" applyAlignment="1">
      <alignment horizontal="center" vertical="center" wrapText="1"/>
    </xf>
    <xf numFmtId="2" fontId="10" fillId="0" borderId="10" xfId="0" applyNumberFormat="1" applyFont="1" applyFill="1" applyBorder="1" applyAlignment="1">
      <alignment horizontal="center" vertical="center"/>
    </xf>
    <xf numFmtId="4" fontId="10" fillId="0" borderId="10"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xf>
    <xf numFmtId="0" fontId="12" fillId="0" borderId="0" xfId="0" applyFont="1" applyFill="1" applyAlignment="1">
      <alignment/>
    </xf>
    <xf numFmtId="0" fontId="0" fillId="0" borderId="0" xfId="0" applyFill="1" applyAlignment="1">
      <alignment horizontal="center"/>
    </xf>
    <xf numFmtId="4" fontId="0" fillId="0" borderId="0" xfId="0" applyNumberFormat="1" applyFill="1" applyAlignment="1">
      <alignment horizontal="center" vertical="center"/>
    </xf>
    <xf numFmtId="2" fontId="0" fillId="0" borderId="0" xfId="0" applyNumberFormat="1" applyFill="1" applyAlignment="1">
      <alignment horizontal="left" indent="2"/>
    </xf>
    <xf numFmtId="0" fontId="9" fillId="0" borderId="10" xfId="0" applyFont="1" applyFill="1" applyBorder="1" applyAlignment="1">
      <alignment horizontal="left" vertical="top" shrinkToFit="1"/>
    </xf>
    <xf numFmtId="4" fontId="9" fillId="0" borderId="10" xfId="0" applyNumberFormat="1" applyFont="1" applyFill="1" applyBorder="1" applyAlignment="1">
      <alignment horizontal="center" vertical="top" wrapText="1"/>
    </xf>
    <xf numFmtId="0" fontId="8" fillId="0" borderId="0" xfId="0" applyFont="1" applyFill="1" applyAlignment="1">
      <alignment/>
    </xf>
    <xf numFmtId="3" fontId="9" fillId="0" borderId="10" xfId="0" applyNumberFormat="1" applyFont="1" applyFill="1" applyBorder="1" applyAlignment="1">
      <alignment horizontal="center" vertical="center" wrapText="1"/>
    </xf>
    <xf numFmtId="0" fontId="10" fillId="0" borderId="10" xfId="0" applyFont="1" applyFill="1" applyBorder="1" applyAlignment="1">
      <alignment horizontal="left" vertical="center"/>
    </xf>
    <xf numFmtId="4" fontId="10" fillId="0" borderId="14" xfId="0" applyNumberFormat="1" applyFont="1" applyFill="1" applyBorder="1" applyAlignment="1">
      <alignment vertical="center"/>
    </xf>
    <xf numFmtId="3" fontId="10" fillId="0" borderId="10" xfId="0" applyNumberFormat="1" applyFont="1" applyFill="1" applyBorder="1" applyAlignment="1">
      <alignment horizontal="left" vertical="center"/>
    </xf>
    <xf numFmtId="0" fontId="9" fillId="0" borderId="10" xfId="0" applyFont="1" applyFill="1" applyBorder="1" applyAlignment="1">
      <alignment horizontal="center" vertical="center"/>
    </xf>
    <xf numFmtId="0" fontId="9" fillId="0" borderId="10" xfId="0" applyFont="1" applyFill="1" applyBorder="1" applyAlignment="1">
      <alignment horizontal="left"/>
    </xf>
    <xf numFmtId="0" fontId="9" fillId="0" borderId="10" xfId="0" applyFont="1" applyFill="1" applyBorder="1" applyAlignment="1">
      <alignment/>
    </xf>
    <xf numFmtId="4" fontId="9" fillId="0" borderId="10" xfId="0" applyNumberFormat="1" applyFont="1" applyFill="1" applyBorder="1" applyAlignment="1">
      <alignment horizontal="center"/>
    </xf>
    <xf numFmtId="193" fontId="9" fillId="0" borderId="10" xfId="0" applyNumberFormat="1" applyFont="1" applyFill="1" applyBorder="1" applyAlignment="1">
      <alignment horizontal="center"/>
    </xf>
    <xf numFmtId="193" fontId="10" fillId="0" borderId="10" xfId="0" applyNumberFormat="1" applyFont="1" applyFill="1" applyBorder="1" applyAlignment="1">
      <alignment horizontal="center"/>
    </xf>
    <xf numFmtId="0" fontId="3" fillId="0" borderId="10" xfId="0" applyFont="1" applyFill="1" applyBorder="1" applyAlignment="1">
      <alignment/>
    </xf>
    <xf numFmtId="3" fontId="3" fillId="0" borderId="10" xfId="0" applyNumberFormat="1" applyFont="1" applyFill="1" applyBorder="1" applyAlignment="1">
      <alignment horizontal="center"/>
    </xf>
    <xf numFmtId="4" fontId="3" fillId="0" borderId="10" xfId="0" applyNumberFormat="1" applyFont="1" applyFill="1" applyBorder="1" applyAlignment="1">
      <alignment horizontal="center"/>
    </xf>
    <xf numFmtId="4" fontId="3" fillId="0" borderId="10" xfId="0" applyNumberFormat="1" applyFont="1" applyFill="1" applyBorder="1" applyAlignment="1">
      <alignment horizontal="center" vertical="center"/>
    </xf>
    <xf numFmtId="3" fontId="80" fillId="0" borderId="10" xfId="0" applyNumberFormat="1" applyFont="1" applyFill="1" applyBorder="1" applyAlignment="1">
      <alignment horizontal="center" vertical="center" wrapText="1"/>
    </xf>
    <xf numFmtId="3" fontId="80" fillId="0" borderId="10" xfId="0" applyNumberFormat="1" applyFont="1" applyFill="1" applyBorder="1" applyAlignment="1">
      <alignment horizontal="left"/>
    </xf>
    <xf numFmtId="3" fontId="80" fillId="0" borderId="10" xfId="0" applyNumberFormat="1" applyFont="1" applyFill="1" applyBorder="1" applyAlignment="1">
      <alignment horizontal="center"/>
    </xf>
    <xf numFmtId="0" fontId="80" fillId="0" borderId="10" xfId="0" applyFont="1" applyFill="1" applyBorder="1" applyAlignment="1">
      <alignment horizontal="center" vertical="center"/>
    </xf>
    <xf numFmtId="4" fontId="80" fillId="0" borderId="10" xfId="0" applyNumberFormat="1" applyFont="1" applyFill="1" applyBorder="1" applyAlignment="1">
      <alignment horizontal="center"/>
    </xf>
    <xf numFmtId="0" fontId="77" fillId="0" borderId="0" xfId="0" applyFont="1" applyFill="1" applyAlignment="1">
      <alignment/>
    </xf>
    <xf numFmtId="0" fontId="8" fillId="0" borderId="15" xfId="0" applyFont="1" applyFill="1" applyBorder="1" applyAlignment="1">
      <alignment vertical="center" wrapText="1"/>
    </xf>
    <xf numFmtId="0" fontId="8" fillId="0" borderId="10" xfId="0"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2" fontId="8" fillId="0" borderId="10" xfId="0" applyNumberFormat="1" applyFont="1" applyFill="1" applyBorder="1" applyAlignment="1">
      <alignment horizontal="left" vertical="center" wrapText="1" indent="2"/>
    </xf>
    <xf numFmtId="0" fontId="13" fillId="0" borderId="0" xfId="0" applyFont="1" applyFill="1" applyAlignment="1">
      <alignment/>
    </xf>
    <xf numFmtId="0" fontId="13" fillId="0" borderId="0" xfId="0" applyFont="1" applyAlignment="1">
      <alignment/>
    </xf>
    <xf numFmtId="1" fontId="9" fillId="0" borderId="10" xfId="0" applyNumberFormat="1" applyFont="1" applyFill="1" applyBorder="1" applyAlignment="1">
      <alignment horizontal="center"/>
    </xf>
    <xf numFmtId="1" fontId="10" fillId="0" borderId="10" xfId="0" applyNumberFormat="1" applyFont="1" applyFill="1" applyBorder="1" applyAlignment="1">
      <alignment horizontal="center" vertical="center"/>
    </xf>
    <xf numFmtId="0" fontId="0" fillId="0" borderId="0" xfId="0" applyFont="1" applyFill="1" applyAlignment="1">
      <alignment/>
    </xf>
    <xf numFmtId="0" fontId="10" fillId="34" borderId="10" xfId="0" applyFont="1" applyFill="1" applyBorder="1" applyAlignment="1">
      <alignment horizontal="center"/>
    </xf>
    <xf numFmtId="0" fontId="10" fillId="34" borderId="10" xfId="0" applyFont="1" applyFill="1" applyBorder="1" applyAlignment="1">
      <alignment horizontal="left"/>
    </xf>
    <xf numFmtId="0" fontId="10" fillId="34" borderId="10" xfId="0" applyFont="1" applyFill="1" applyBorder="1" applyAlignment="1">
      <alignment/>
    </xf>
    <xf numFmtId="187" fontId="10" fillId="34" borderId="10" xfId="42" applyNumberFormat="1" applyFont="1" applyFill="1" applyBorder="1" applyAlignment="1">
      <alignment horizontal="center"/>
    </xf>
    <xf numFmtId="0" fontId="10" fillId="34" borderId="10" xfId="0" applyFont="1" applyFill="1" applyBorder="1" applyAlignment="1">
      <alignment horizontal="center" vertical="top" wrapText="1"/>
    </xf>
    <xf numFmtId="4" fontId="10" fillId="34" borderId="10" xfId="0" applyNumberFormat="1" applyFont="1" applyFill="1" applyBorder="1" applyAlignment="1">
      <alignment horizontal="center" vertical="center" wrapText="1"/>
    </xf>
    <xf numFmtId="187" fontId="10" fillId="34" borderId="10" xfId="42" applyNumberFormat="1" applyFont="1" applyFill="1" applyBorder="1" applyAlignment="1">
      <alignment horizontal="center" vertical="center"/>
    </xf>
    <xf numFmtId="0" fontId="10" fillId="34" borderId="10" xfId="0" applyFont="1" applyFill="1" applyBorder="1" applyAlignment="1">
      <alignment horizontal="left" vertical="center"/>
    </xf>
    <xf numFmtId="3" fontId="10" fillId="34" borderId="10" xfId="0" applyNumberFormat="1" applyFont="1" applyFill="1" applyBorder="1" applyAlignment="1">
      <alignment horizontal="center" vertical="center"/>
    </xf>
    <xf numFmtId="3" fontId="10" fillId="34" borderId="10" xfId="0" applyNumberFormat="1" applyFont="1" applyFill="1" applyBorder="1" applyAlignment="1">
      <alignment horizontal="center" vertical="center" wrapText="1"/>
    </xf>
    <xf numFmtId="3" fontId="10" fillId="34" borderId="10" xfId="0" applyNumberFormat="1" applyFont="1" applyFill="1" applyBorder="1" applyAlignment="1">
      <alignment horizontal="left" vertical="center"/>
    </xf>
    <xf numFmtId="4" fontId="10" fillId="34" borderId="10" xfId="0" applyNumberFormat="1" applyFont="1" applyFill="1" applyBorder="1" applyAlignment="1">
      <alignment horizontal="center" vertical="center"/>
    </xf>
    <xf numFmtId="3" fontId="10" fillId="34" borderId="10" xfId="0" applyNumberFormat="1" applyFont="1" applyFill="1" applyBorder="1" applyAlignment="1">
      <alignment horizontal="center"/>
    </xf>
    <xf numFmtId="2" fontId="10" fillId="34" borderId="10" xfId="0" applyNumberFormat="1" applyFont="1" applyFill="1" applyBorder="1" applyAlignment="1">
      <alignment horizontal="center"/>
    </xf>
    <xf numFmtId="3" fontId="80" fillId="34" borderId="10" xfId="0" applyNumberFormat="1" applyFont="1" applyFill="1" applyBorder="1" applyAlignment="1">
      <alignment horizontal="center" vertical="center" wrapText="1"/>
    </xf>
    <xf numFmtId="3" fontId="80" fillId="34" borderId="10" xfId="0" applyNumberFormat="1" applyFont="1" applyFill="1" applyBorder="1" applyAlignment="1">
      <alignment horizontal="left"/>
    </xf>
    <xf numFmtId="3" fontId="80" fillId="34" borderId="10" xfId="0" applyNumberFormat="1" applyFont="1" applyFill="1" applyBorder="1" applyAlignment="1">
      <alignment horizontal="center"/>
    </xf>
    <xf numFmtId="0" fontId="80" fillId="34" borderId="10" xfId="0" applyFont="1" applyFill="1" applyBorder="1" applyAlignment="1">
      <alignment horizontal="center" vertical="center"/>
    </xf>
    <xf numFmtId="4" fontId="80" fillId="34" borderId="10" xfId="0" applyNumberFormat="1" applyFont="1" applyFill="1" applyBorder="1" applyAlignment="1">
      <alignment horizontal="center"/>
    </xf>
    <xf numFmtId="0" fontId="77" fillId="34" borderId="0" xfId="0" applyFont="1" applyFill="1" applyAlignment="1">
      <alignment/>
    </xf>
    <xf numFmtId="187" fontId="10" fillId="0" borderId="10" xfId="0" applyNumberFormat="1" applyFont="1" applyFill="1" applyBorder="1" applyAlignment="1">
      <alignment horizontal="center" vertical="top" wrapText="1"/>
    </xf>
    <xf numFmtId="187" fontId="10" fillId="34" borderId="10" xfId="0" applyNumberFormat="1" applyFont="1" applyFill="1" applyBorder="1" applyAlignment="1">
      <alignment horizontal="center" vertical="top" wrapText="1"/>
    </xf>
    <xf numFmtId="0" fontId="3" fillId="0" borderId="10" xfId="0" applyFont="1" applyFill="1" applyBorder="1" applyAlignment="1">
      <alignment horizontal="justify" vertical="top" wrapText="1"/>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2" fontId="3" fillId="0" borderId="14" xfId="0" applyNumberFormat="1" applyFont="1" applyFill="1" applyBorder="1" applyAlignment="1">
      <alignment vertical="top" wrapText="1"/>
    </xf>
    <xf numFmtId="3" fontId="3" fillId="0" borderId="10" xfId="0" applyNumberFormat="1" applyFont="1" applyFill="1" applyBorder="1" applyAlignment="1">
      <alignment horizontal="center" vertical="center" wrapText="1"/>
    </xf>
    <xf numFmtId="3" fontId="3" fillId="0" borderId="10" xfId="0" applyNumberFormat="1" applyFont="1" applyFill="1" applyBorder="1" applyAlignment="1">
      <alignment horizontal="left" vertical="center" wrapText="1"/>
    </xf>
    <xf numFmtId="196" fontId="0" fillId="0" borderId="0" xfId="0" applyNumberFormat="1" applyFill="1" applyAlignment="1">
      <alignment/>
    </xf>
    <xf numFmtId="196" fontId="8" fillId="0" borderId="10" xfId="0" applyNumberFormat="1" applyFont="1" applyFill="1" applyBorder="1" applyAlignment="1">
      <alignment horizontal="center" vertical="center" wrapText="1"/>
    </xf>
    <xf numFmtId="196" fontId="9" fillId="0" borderId="10" xfId="0" applyNumberFormat="1" applyFont="1" applyFill="1" applyBorder="1" applyAlignment="1">
      <alignment horizontal="center" vertical="top" wrapText="1"/>
    </xf>
    <xf numFmtId="196" fontId="10" fillId="0" borderId="14" xfId="42" applyNumberFormat="1" applyFont="1" applyFill="1" applyBorder="1" applyAlignment="1">
      <alignment horizontal="center" vertical="top" wrapText="1"/>
    </xf>
    <xf numFmtId="196" fontId="9" fillId="0" borderId="10" xfId="0" applyNumberFormat="1" applyFont="1" applyFill="1" applyBorder="1" applyAlignment="1">
      <alignment horizontal="center" vertical="center" wrapText="1"/>
    </xf>
    <xf numFmtId="196" fontId="10" fillId="34" borderId="10" xfId="0" applyNumberFormat="1" applyFont="1" applyFill="1" applyBorder="1" applyAlignment="1">
      <alignment horizontal="center" vertical="center"/>
    </xf>
    <xf numFmtId="196" fontId="10" fillId="0" borderId="10" xfId="0" applyNumberFormat="1" applyFont="1" applyFill="1" applyBorder="1" applyAlignment="1">
      <alignment horizontal="center" vertical="center"/>
    </xf>
    <xf numFmtId="196" fontId="3" fillId="0" borderId="10" xfId="0" applyNumberFormat="1" applyFont="1" applyFill="1" applyBorder="1" applyAlignment="1">
      <alignment horizontal="center" vertical="top" wrapText="1"/>
    </xf>
    <xf numFmtId="196" fontId="10" fillId="0" borderId="10" xfId="42" applyNumberFormat="1" applyFont="1" applyFill="1" applyBorder="1" applyAlignment="1">
      <alignment horizontal="center"/>
    </xf>
    <xf numFmtId="196" fontId="10" fillId="34" borderId="10" xfId="42" applyNumberFormat="1" applyFont="1" applyFill="1" applyBorder="1" applyAlignment="1">
      <alignment horizontal="center"/>
    </xf>
    <xf numFmtId="196" fontId="10" fillId="34" borderId="10" xfId="42" applyNumberFormat="1" applyFont="1" applyFill="1" applyBorder="1" applyAlignment="1">
      <alignment horizontal="center" vertical="center"/>
    </xf>
    <xf numFmtId="196" fontId="3" fillId="0" borderId="10" xfId="0" applyNumberFormat="1" applyFont="1" applyFill="1" applyBorder="1" applyAlignment="1">
      <alignment horizontal="center" vertical="center" wrapText="1"/>
    </xf>
    <xf numFmtId="196" fontId="80" fillId="34" borderId="10" xfId="0" applyNumberFormat="1" applyFont="1" applyFill="1" applyBorder="1" applyAlignment="1">
      <alignment horizontal="center"/>
    </xf>
    <xf numFmtId="196" fontId="9" fillId="0" borderId="10" xfId="0" applyNumberFormat="1" applyFont="1" applyFill="1" applyBorder="1" applyAlignment="1">
      <alignment horizontal="center"/>
    </xf>
    <xf numFmtId="196" fontId="10" fillId="0" borderId="10" xfId="0" applyNumberFormat="1" applyFont="1" applyFill="1" applyBorder="1" applyAlignment="1">
      <alignment horizontal="center"/>
    </xf>
    <xf numFmtId="196" fontId="10" fillId="34" borderId="10" xfId="0" applyNumberFormat="1" applyFont="1" applyFill="1" applyBorder="1" applyAlignment="1">
      <alignment horizontal="center"/>
    </xf>
    <xf numFmtId="196" fontId="3" fillId="0" borderId="10" xfId="0" applyNumberFormat="1" applyFont="1" applyFill="1" applyBorder="1" applyAlignment="1">
      <alignment horizontal="center"/>
    </xf>
    <xf numFmtId="0" fontId="0" fillId="0" borderId="0" xfId="0" applyFill="1" applyAlignment="1">
      <alignment/>
    </xf>
    <xf numFmtId="0" fontId="0" fillId="0" borderId="0" xfId="0" applyFill="1" applyBorder="1" applyAlignment="1">
      <alignment/>
    </xf>
    <xf numFmtId="1" fontId="8"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1" fontId="0" fillId="0" borderId="0" xfId="0" applyNumberFormat="1" applyFill="1" applyAlignment="1">
      <alignment/>
    </xf>
    <xf numFmtId="1" fontId="9" fillId="0" borderId="10" xfId="0" applyNumberFormat="1" applyFont="1" applyFill="1" applyBorder="1" applyAlignment="1">
      <alignment horizontal="center" vertical="top" wrapText="1"/>
    </xf>
    <xf numFmtId="1" fontId="10" fillId="0" borderId="14" xfId="42" applyNumberFormat="1" applyFont="1" applyFill="1" applyBorder="1" applyAlignment="1">
      <alignment horizontal="center" vertical="top" wrapText="1"/>
    </xf>
    <xf numFmtId="1" fontId="3" fillId="0" borderId="10" xfId="0" applyNumberFormat="1" applyFont="1" applyFill="1" applyBorder="1" applyAlignment="1">
      <alignment horizontal="center" vertical="top" wrapText="1"/>
    </xf>
    <xf numFmtId="1" fontId="10" fillId="0" borderId="10" xfId="42" applyNumberFormat="1" applyFont="1" applyFill="1" applyBorder="1" applyAlignment="1">
      <alignment horizontal="center"/>
    </xf>
    <xf numFmtId="1" fontId="10" fillId="0" borderId="10" xfId="0" applyNumberFormat="1" applyFont="1" applyFill="1" applyBorder="1" applyAlignment="1">
      <alignment horizontal="center"/>
    </xf>
    <xf numFmtId="1" fontId="3" fillId="0" borderId="10" xfId="0" applyNumberFormat="1" applyFont="1" applyFill="1" applyBorder="1" applyAlignment="1">
      <alignment horizontal="center"/>
    </xf>
    <xf numFmtId="187" fontId="10" fillId="34" borderId="14" xfId="42" applyNumberFormat="1" applyFont="1" applyFill="1" applyBorder="1" applyAlignment="1">
      <alignment horizontal="center" vertical="top" wrapText="1"/>
    </xf>
    <xf numFmtId="0" fontId="11" fillId="0" borderId="0" xfId="0" applyFont="1" applyFill="1" applyAlignment="1">
      <alignment horizontal="center"/>
    </xf>
    <xf numFmtId="196" fontId="81" fillId="0" borderId="10" xfId="0" applyNumberFormat="1" applyFont="1" applyFill="1" applyBorder="1" applyAlignment="1">
      <alignment horizontal="center" vertical="center" wrapText="1"/>
    </xf>
    <xf numFmtId="0" fontId="0" fillId="0" borderId="0" xfId="0" applyFill="1" applyAlignment="1">
      <alignment horizontal="center" vertical="center"/>
    </xf>
    <xf numFmtId="0" fontId="8" fillId="0" borderId="10" xfId="0" applyFont="1" applyFill="1" applyBorder="1" applyAlignment="1">
      <alignment horizontal="center" vertical="center"/>
    </xf>
    <xf numFmtId="3" fontId="8"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0" fillId="0" borderId="10" xfId="0" applyFill="1" applyBorder="1" applyAlignment="1">
      <alignment horizontal="center" vertical="center"/>
    </xf>
    <xf numFmtId="3" fontId="0" fillId="0" borderId="10" xfId="0" applyNumberFormat="1" applyFill="1" applyBorder="1" applyAlignment="1">
      <alignment horizontal="center" vertical="center"/>
    </xf>
    <xf numFmtId="0" fontId="0" fillId="0" borderId="10" xfId="0" applyFont="1" applyFill="1" applyBorder="1" applyAlignment="1">
      <alignment horizontal="center" vertical="center"/>
    </xf>
    <xf numFmtId="3" fontId="79" fillId="0" borderId="10" xfId="0" applyNumberFormat="1" applyFont="1" applyFill="1" applyBorder="1" applyAlignment="1">
      <alignment horizontal="center" vertical="center"/>
    </xf>
    <xf numFmtId="0" fontId="0" fillId="34" borderId="0" xfId="0" applyFill="1" applyAlignment="1">
      <alignment horizontal="center"/>
    </xf>
    <xf numFmtId="0" fontId="8" fillId="34" borderId="10" xfId="0" applyFont="1" applyFill="1" applyBorder="1" applyAlignment="1">
      <alignment horizontal="center" vertical="center" wrapText="1"/>
    </xf>
    <xf numFmtId="3" fontId="9" fillId="34" borderId="10" xfId="0" applyNumberFormat="1" applyFont="1" applyFill="1" applyBorder="1" applyAlignment="1">
      <alignment horizontal="center" vertical="center" wrapText="1"/>
    </xf>
    <xf numFmtId="3" fontId="10" fillId="34" borderId="10" xfId="0" applyNumberFormat="1" applyFont="1" applyFill="1" applyBorder="1" applyAlignment="1">
      <alignment horizontal="center" vertical="top" wrapText="1"/>
    </xf>
    <xf numFmtId="3" fontId="80" fillId="34" borderId="10" xfId="0" applyNumberFormat="1" applyFont="1" applyFill="1" applyBorder="1" applyAlignment="1">
      <alignment horizontal="center" vertical="top" wrapText="1"/>
    </xf>
    <xf numFmtId="3" fontId="9" fillId="34" borderId="10" xfId="0" applyNumberFormat="1" applyFont="1" applyFill="1" applyBorder="1" applyAlignment="1">
      <alignment horizontal="center" vertical="top" wrapText="1"/>
    </xf>
    <xf numFmtId="3" fontId="3" fillId="34" borderId="10" xfId="0" applyNumberFormat="1" applyFont="1" applyFill="1" applyBorder="1" applyAlignment="1">
      <alignment horizontal="center" vertical="center" wrapText="1"/>
    </xf>
    <xf numFmtId="3" fontId="3" fillId="34" borderId="10" xfId="0" applyNumberFormat="1" applyFont="1" applyFill="1" applyBorder="1" applyAlignment="1">
      <alignment horizontal="center" vertical="center"/>
    </xf>
    <xf numFmtId="3" fontId="0" fillId="0" borderId="0" xfId="0" applyNumberFormat="1" applyFill="1" applyAlignment="1">
      <alignment horizontal="center"/>
    </xf>
    <xf numFmtId="3" fontId="0" fillId="34" borderId="0" xfId="0" applyNumberFormat="1" applyFill="1" applyAlignment="1">
      <alignment horizontal="left" indent="2"/>
    </xf>
    <xf numFmtId="3" fontId="8" fillId="34" borderId="10" xfId="0" applyNumberFormat="1" applyFont="1" applyFill="1" applyBorder="1" applyAlignment="1">
      <alignment horizontal="left" vertical="center" wrapText="1" indent="2"/>
    </xf>
    <xf numFmtId="3" fontId="3" fillId="0" borderId="10" xfId="0" applyNumberFormat="1" applyFont="1" applyFill="1" applyBorder="1" applyAlignment="1">
      <alignment horizontal="center" vertical="center"/>
    </xf>
    <xf numFmtId="0" fontId="11" fillId="0" borderId="0" xfId="0" applyFont="1" applyFill="1" applyAlignment="1">
      <alignment/>
    </xf>
    <xf numFmtId="0" fontId="8" fillId="0" borderId="15" xfId="0" applyFont="1" applyFill="1" applyBorder="1" applyAlignment="1">
      <alignment horizontal="center" vertical="center" wrapText="1"/>
    </xf>
    <xf numFmtId="3" fontId="79" fillId="0" borderId="0" xfId="0" applyNumberFormat="1" applyFont="1" applyFill="1" applyBorder="1" applyAlignment="1">
      <alignment horizontal="center" vertical="center"/>
    </xf>
    <xf numFmtId="0" fontId="3" fillId="0" borderId="0" xfId="0" applyFont="1" applyFill="1" applyAlignment="1">
      <alignment horizontal="center"/>
    </xf>
    <xf numFmtId="0" fontId="3" fillId="0" borderId="10" xfId="0" applyFont="1" applyFill="1" applyBorder="1" applyAlignment="1">
      <alignment horizontal="center"/>
    </xf>
    <xf numFmtId="0" fontId="8" fillId="0" borderId="12" xfId="0" applyFont="1" applyFill="1" applyBorder="1" applyAlignment="1">
      <alignment horizontal="center" vertical="center"/>
    </xf>
    <xf numFmtId="0" fontId="81" fillId="0" borderId="12" xfId="0" applyFont="1" applyFill="1" applyBorder="1" applyAlignment="1">
      <alignment horizontal="center" vertical="center" wrapText="1"/>
    </xf>
    <xf numFmtId="3" fontId="0" fillId="0" borderId="10" xfId="0" applyNumberFormat="1" applyFont="1" applyFill="1" applyBorder="1" applyAlignment="1">
      <alignment/>
    </xf>
    <xf numFmtId="0" fontId="10" fillId="0" borderId="10" xfId="0" applyFont="1" applyFill="1" applyBorder="1" applyAlignment="1">
      <alignment horizontal="left" vertical="top" shrinkToFit="1"/>
    </xf>
    <xf numFmtId="0" fontId="13" fillId="0" borderId="10" xfId="0" applyFont="1" applyFill="1" applyBorder="1" applyAlignment="1">
      <alignment horizontal="center" vertical="center"/>
    </xf>
    <xf numFmtId="3" fontId="13" fillId="0" borderId="10" xfId="0" applyNumberFormat="1" applyFont="1" applyFill="1" applyBorder="1" applyAlignment="1">
      <alignment horizontal="center" vertical="center"/>
    </xf>
    <xf numFmtId="0" fontId="0" fillId="0" borderId="10" xfId="0" applyFill="1" applyBorder="1" applyAlignment="1">
      <alignment/>
    </xf>
    <xf numFmtId="0" fontId="0" fillId="0" borderId="10" xfId="0" applyFont="1" applyFill="1" applyBorder="1" applyAlignment="1">
      <alignment/>
    </xf>
    <xf numFmtId="4" fontId="0" fillId="0" borderId="10" xfId="0" applyNumberFormat="1" applyFill="1" applyBorder="1" applyAlignment="1">
      <alignment/>
    </xf>
    <xf numFmtId="3" fontId="0" fillId="0" borderId="10" xfId="0" applyNumberFormat="1" applyFill="1" applyBorder="1" applyAlignment="1">
      <alignment/>
    </xf>
    <xf numFmtId="3" fontId="8" fillId="0" borderId="10" xfId="0" applyNumberFormat="1" applyFont="1" applyBorder="1" applyAlignment="1">
      <alignment horizontal="center"/>
    </xf>
    <xf numFmtId="3" fontId="13" fillId="0" borderId="10" xfId="0" applyNumberFormat="1" applyFont="1" applyBorder="1" applyAlignment="1">
      <alignment horizontal="center"/>
    </xf>
    <xf numFmtId="3" fontId="0" fillId="0" borderId="10" xfId="0" applyNumberFormat="1" applyFill="1" applyBorder="1" applyAlignment="1">
      <alignment horizontal="center"/>
    </xf>
    <xf numFmtId="3" fontId="0" fillId="0" borderId="0" xfId="0" applyNumberFormat="1" applyFill="1" applyAlignment="1">
      <alignment horizontal="left" indent="2"/>
    </xf>
    <xf numFmtId="3" fontId="8" fillId="0" borderId="10" xfId="0" applyNumberFormat="1" applyFont="1" applyFill="1" applyBorder="1" applyAlignment="1">
      <alignment horizontal="left" vertical="center" wrapText="1" indent="2"/>
    </xf>
    <xf numFmtId="187" fontId="0" fillId="0" borderId="10" xfId="0" applyNumberFormat="1" applyFill="1" applyBorder="1" applyAlignment="1">
      <alignment/>
    </xf>
    <xf numFmtId="4" fontId="0" fillId="0" borderId="10" xfId="0" applyNumberFormat="1" applyFill="1" applyBorder="1" applyAlignment="1">
      <alignment horizontal="center" vertical="center"/>
    </xf>
    <xf numFmtId="3" fontId="0" fillId="0" borderId="10" xfId="0" applyNumberFormat="1" applyFill="1" applyBorder="1" applyAlignment="1">
      <alignment horizontal="left" indent="2"/>
    </xf>
    <xf numFmtId="0" fontId="0" fillId="0" borderId="10" xfId="0" applyFill="1" applyBorder="1" applyAlignment="1">
      <alignment horizontal="center"/>
    </xf>
    <xf numFmtId="3" fontId="3" fillId="0" borderId="10" xfId="0" applyNumberFormat="1" applyFont="1" applyFill="1" applyBorder="1" applyAlignment="1">
      <alignment/>
    </xf>
    <xf numFmtId="4" fontId="77" fillId="0" borderId="10" xfId="0" applyNumberFormat="1" applyFont="1" applyFill="1" applyBorder="1" applyAlignment="1">
      <alignment horizontal="center"/>
    </xf>
    <xf numFmtId="0" fontId="3" fillId="0" borderId="0" xfId="0" applyFont="1" applyFill="1" applyBorder="1" applyAlignment="1">
      <alignment/>
    </xf>
    <xf numFmtId="3" fontId="3" fillId="0" borderId="0" xfId="0" applyNumberFormat="1" applyFont="1" applyFill="1" applyBorder="1" applyAlignment="1">
      <alignment horizontal="center"/>
    </xf>
    <xf numFmtId="196" fontId="3" fillId="0" borderId="0" xfId="0" applyNumberFormat="1" applyFont="1" applyFill="1" applyBorder="1" applyAlignment="1">
      <alignment horizontal="center"/>
    </xf>
    <xf numFmtId="4" fontId="3" fillId="0" borderId="0" xfId="0" applyNumberFormat="1" applyFont="1" applyFill="1" applyBorder="1" applyAlignment="1">
      <alignment horizontal="center"/>
    </xf>
    <xf numFmtId="4" fontId="3" fillId="0" borderId="0"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xf>
    <xf numFmtId="3" fontId="3" fillId="34" borderId="0" xfId="0" applyNumberFormat="1" applyFont="1" applyFill="1" applyBorder="1" applyAlignment="1">
      <alignment horizontal="center" vertical="center"/>
    </xf>
    <xf numFmtId="0" fontId="10" fillId="0" borderId="10" xfId="0" applyFont="1" applyFill="1" applyBorder="1" applyAlignment="1">
      <alignment horizontal="left" vertical="top" wrapText="1" shrinkToFit="1"/>
    </xf>
    <xf numFmtId="196" fontId="10" fillId="0" borderId="10" xfId="42" applyNumberFormat="1" applyFont="1" applyFill="1" applyBorder="1" applyAlignment="1">
      <alignment horizontal="center" vertical="center"/>
    </xf>
    <xf numFmtId="196" fontId="80" fillId="0" borderId="10" xfId="0" applyNumberFormat="1" applyFont="1" applyFill="1" applyBorder="1" applyAlignment="1">
      <alignment horizontal="center"/>
    </xf>
    <xf numFmtId="0" fontId="9" fillId="0" borderId="10" xfId="0" applyFont="1" applyFill="1" applyBorder="1" applyAlignment="1">
      <alignment vertical="top" wrapText="1"/>
    </xf>
    <xf numFmtId="187" fontId="10" fillId="0" borderId="10" xfId="0" applyNumberFormat="1" applyFont="1" applyFill="1" applyBorder="1" applyAlignment="1">
      <alignment vertical="top" wrapText="1"/>
    </xf>
    <xf numFmtId="187" fontId="10" fillId="0" borderId="14" xfId="42" applyNumberFormat="1" applyFont="1" applyFill="1" applyBorder="1" applyAlignment="1">
      <alignment vertical="top" wrapText="1"/>
    </xf>
    <xf numFmtId="3" fontId="9" fillId="0" borderId="10" xfId="0" applyNumberFormat="1" applyFont="1" applyFill="1" applyBorder="1" applyAlignment="1">
      <alignment vertical="center" wrapText="1"/>
    </xf>
    <xf numFmtId="0" fontId="10" fillId="34" borderId="10" xfId="0" applyFont="1" applyFill="1" applyBorder="1" applyAlignment="1">
      <alignment vertical="top" wrapText="1"/>
    </xf>
    <xf numFmtId="2" fontId="77" fillId="0" borderId="10" xfId="0" applyNumberFormat="1" applyFont="1" applyFill="1" applyBorder="1" applyAlignment="1">
      <alignment horizontal="center"/>
    </xf>
    <xf numFmtId="4" fontId="0" fillId="0" borderId="10" xfId="0" applyNumberFormat="1" applyFill="1" applyBorder="1" applyAlignment="1">
      <alignment horizontal="center"/>
    </xf>
    <xf numFmtId="1" fontId="10" fillId="0" borderId="10" xfId="42" applyNumberFormat="1" applyFont="1" applyFill="1" applyBorder="1" applyAlignment="1">
      <alignment horizontal="center" vertical="center"/>
    </xf>
    <xf numFmtId="1" fontId="80" fillId="0" borderId="10" xfId="0" applyNumberFormat="1" applyFont="1" applyFill="1" applyBorder="1" applyAlignment="1">
      <alignment horizontal="center"/>
    </xf>
    <xf numFmtId="0" fontId="82" fillId="0" borderId="11" xfId="0" applyFont="1" applyBorder="1" applyAlignment="1">
      <alignment horizontal="left" vertical="center" wrapText="1"/>
    </xf>
    <xf numFmtId="187" fontId="83" fillId="0" borderId="16" xfId="42" applyNumberFormat="1" applyFont="1" applyFill="1" applyBorder="1" applyAlignment="1">
      <alignment vertical="center"/>
    </xf>
    <xf numFmtId="187" fontId="83" fillId="0" borderId="10" xfId="42" applyNumberFormat="1" applyFont="1" applyFill="1" applyBorder="1" applyAlignment="1">
      <alignment vertical="center"/>
    </xf>
    <xf numFmtId="187" fontId="83" fillId="0" borderId="11" xfId="42" applyNumberFormat="1" applyFont="1" applyFill="1" applyBorder="1" applyAlignment="1">
      <alignment vertical="center"/>
    </xf>
    <xf numFmtId="187" fontId="9" fillId="0" borderId="14" xfId="42" applyNumberFormat="1" applyFont="1" applyFill="1" applyBorder="1" applyAlignment="1">
      <alignment vertical="top" wrapText="1"/>
    </xf>
    <xf numFmtId="187" fontId="9" fillId="0" borderId="14" xfId="42" applyNumberFormat="1" applyFont="1" applyFill="1" applyBorder="1" applyAlignment="1">
      <alignment horizontal="center" vertical="top" wrapText="1"/>
    </xf>
    <xf numFmtId="4" fontId="3" fillId="0" borderId="0" xfId="0" applyNumberFormat="1" applyFont="1" applyFill="1" applyAlignment="1">
      <alignment horizontal="center" vertical="center"/>
    </xf>
    <xf numFmtId="2" fontId="3" fillId="0" borderId="0" xfId="0" applyNumberFormat="1" applyFont="1" applyFill="1" applyAlignment="1">
      <alignment horizontal="left" indent="2"/>
    </xf>
    <xf numFmtId="2" fontId="0" fillId="0" borderId="10" xfId="0" applyNumberFormat="1" applyFill="1" applyBorder="1" applyAlignment="1">
      <alignment horizontal="center"/>
    </xf>
    <xf numFmtId="0" fontId="0" fillId="0" borderId="0" xfId="0" applyFont="1" applyFill="1" applyAlignment="1">
      <alignment horizontal="center"/>
    </xf>
    <xf numFmtId="0" fontId="0" fillId="0" borderId="0" xfId="0" applyFont="1" applyFill="1" applyBorder="1" applyAlignment="1">
      <alignment/>
    </xf>
    <xf numFmtId="4" fontId="0" fillId="0" borderId="0" xfId="0" applyNumberFormat="1" applyFill="1" applyAlignment="1">
      <alignment horizontal="center"/>
    </xf>
    <xf numFmtId="3" fontId="10" fillId="0" borderId="0" xfId="0" applyNumberFormat="1" applyFont="1" applyFill="1" applyBorder="1" applyAlignment="1">
      <alignment horizontal="center"/>
    </xf>
    <xf numFmtId="3" fontId="8" fillId="0" borderId="0" xfId="0" applyNumberFormat="1" applyFont="1" applyFill="1" applyAlignment="1">
      <alignment/>
    </xf>
    <xf numFmtId="3" fontId="3" fillId="0" borderId="0" xfId="0" applyNumberFormat="1" applyFont="1" applyFill="1" applyAlignment="1">
      <alignment/>
    </xf>
    <xf numFmtId="3" fontId="13" fillId="0" borderId="0" xfId="0" applyNumberFormat="1" applyFont="1" applyFill="1" applyAlignment="1">
      <alignment/>
    </xf>
    <xf numFmtId="0" fontId="14" fillId="0" borderId="0" xfId="0" applyFont="1" applyFill="1" applyBorder="1" applyAlignment="1">
      <alignment/>
    </xf>
    <xf numFmtId="0" fontId="14" fillId="0" borderId="0" xfId="0" applyFont="1" applyFill="1" applyAlignment="1">
      <alignment/>
    </xf>
    <xf numFmtId="187" fontId="14" fillId="0" borderId="0" xfId="0" applyNumberFormat="1" applyFont="1" applyFill="1" applyAlignment="1">
      <alignment/>
    </xf>
    <xf numFmtId="0" fontId="14" fillId="0" borderId="0" xfId="0" applyFont="1" applyFill="1" applyBorder="1" applyAlignment="1">
      <alignment horizontal="center"/>
    </xf>
    <xf numFmtId="3" fontId="14" fillId="0" borderId="0" xfId="42" applyNumberFormat="1" applyFont="1" applyFill="1" applyBorder="1" applyAlignment="1">
      <alignment/>
    </xf>
    <xf numFmtId="0" fontId="0" fillId="0" borderId="10" xfId="0" applyFont="1" applyFill="1" applyBorder="1" applyAlignment="1">
      <alignment horizontal="center"/>
    </xf>
    <xf numFmtId="0" fontId="11" fillId="0" borderId="0" xfId="0" applyFont="1" applyAlignment="1">
      <alignment horizontal="center"/>
    </xf>
    <xf numFmtId="1" fontId="0" fillId="0" borderId="10" xfId="0" applyNumberFormat="1" applyFill="1" applyBorder="1" applyAlignment="1">
      <alignment/>
    </xf>
    <xf numFmtId="0" fontId="0" fillId="0" borderId="10" xfId="0" applyFont="1" applyFill="1" applyBorder="1" applyAlignment="1">
      <alignment/>
    </xf>
    <xf numFmtId="0" fontId="3" fillId="36" borderId="0" xfId="0" applyFont="1" applyFill="1" applyAlignment="1">
      <alignment/>
    </xf>
    <xf numFmtId="0" fontId="1" fillId="36" borderId="0" xfId="0" applyFont="1" applyFill="1" applyAlignment="1">
      <alignment/>
    </xf>
    <xf numFmtId="4" fontId="3" fillId="36" borderId="10" xfId="0" applyNumberFormat="1" applyFont="1" applyFill="1" applyBorder="1" applyAlignment="1">
      <alignment/>
    </xf>
    <xf numFmtId="0" fontId="3" fillId="36" borderId="10" xfId="0" applyFont="1" applyFill="1" applyBorder="1" applyAlignment="1">
      <alignment/>
    </xf>
    <xf numFmtId="0" fontId="12" fillId="36" borderId="0" xfId="0" applyFont="1" applyFill="1" applyAlignment="1">
      <alignment/>
    </xf>
    <xf numFmtId="0" fontId="3" fillId="36" borderId="10" xfId="0" applyFont="1" applyFill="1" applyBorder="1" applyAlignment="1">
      <alignment horizontal="center" wrapText="1"/>
    </xf>
    <xf numFmtId="0" fontId="0" fillId="36" borderId="10" xfId="0" applyFill="1" applyBorder="1" applyAlignment="1">
      <alignment/>
    </xf>
    <xf numFmtId="0" fontId="16" fillId="0" borderId="10" xfId="0" applyFont="1" applyFill="1" applyBorder="1" applyAlignment="1">
      <alignment horizontal="center" vertical="center"/>
    </xf>
    <xf numFmtId="0" fontId="16" fillId="36" borderId="10" xfId="0" applyFont="1" applyFill="1" applyBorder="1" applyAlignment="1">
      <alignment horizontal="center" vertical="center"/>
    </xf>
    <xf numFmtId="0" fontId="16" fillId="0" borderId="0" xfId="0" applyFont="1" applyFill="1" applyAlignment="1">
      <alignment horizontal="center" vertical="center"/>
    </xf>
    <xf numFmtId="1" fontId="16" fillId="0"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36" borderId="10" xfId="0" applyFont="1" applyFill="1" applyBorder="1" applyAlignment="1">
      <alignment horizontal="center" vertical="center" wrapText="1"/>
    </xf>
    <xf numFmtId="3" fontId="16" fillId="34" borderId="0" xfId="0" applyNumberFormat="1" applyFont="1" applyFill="1" applyAlignment="1">
      <alignment/>
    </xf>
    <xf numFmtId="3" fontId="16" fillId="34" borderId="17" xfId="0" applyNumberFormat="1" applyFont="1" applyFill="1" applyBorder="1" applyAlignment="1">
      <alignment/>
    </xf>
    <xf numFmtId="3" fontId="16" fillId="34" borderId="0" xfId="0" applyNumberFormat="1" applyFont="1" applyFill="1" applyAlignment="1">
      <alignment horizontal="center"/>
    </xf>
    <xf numFmtId="3" fontId="16" fillId="34" borderId="0" xfId="0" applyNumberFormat="1" applyFont="1" applyFill="1" applyAlignment="1">
      <alignment horizontal="center" vertical="center"/>
    </xf>
    <xf numFmtId="3" fontId="16" fillId="34" borderId="0" xfId="0" applyNumberFormat="1" applyFont="1" applyFill="1" applyAlignment="1">
      <alignment horizontal="left" indent="2"/>
    </xf>
    <xf numFmtId="3" fontId="16" fillId="34" borderId="0" xfId="0" applyNumberFormat="1" applyFont="1" applyFill="1" applyBorder="1" applyAlignment="1">
      <alignment/>
    </xf>
    <xf numFmtId="3" fontId="16" fillId="34" borderId="10" xfId="0" applyNumberFormat="1" applyFont="1" applyFill="1" applyBorder="1" applyAlignment="1">
      <alignment/>
    </xf>
    <xf numFmtId="3" fontId="16" fillId="34" borderId="10" xfId="0" applyNumberFormat="1" applyFont="1" applyFill="1" applyBorder="1" applyAlignment="1">
      <alignment horizontal="center"/>
    </xf>
    <xf numFmtId="3" fontId="16" fillId="34" borderId="0" xfId="0" applyNumberFormat="1" applyFont="1" applyFill="1" applyAlignment="1">
      <alignment/>
    </xf>
    <xf numFmtId="0" fontId="8" fillId="0" borderId="10" xfId="0" applyFont="1" applyFill="1" applyBorder="1" applyAlignment="1">
      <alignment/>
    </xf>
    <xf numFmtId="187" fontId="3" fillId="0" borderId="10" xfId="0" applyNumberFormat="1" applyFont="1" applyFill="1" applyBorder="1" applyAlignment="1">
      <alignment horizontal="center"/>
    </xf>
    <xf numFmtId="3" fontId="0" fillId="34" borderId="10" xfId="0" applyNumberFormat="1" applyFill="1" applyBorder="1" applyAlignment="1">
      <alignment/>
    </xf>
    <xf numFmtId="3" fontId="3" fillId="34" borderId="10" xfId="0" applyNumberFormat="1" applyFont="1" applyFill="1" applyBorder="1" applyAlignment="1">
      <alignment/>
    </xf>
    <xf numFmtId="3" fontId="0" fillId="34" borderId="10" xfId="0" applyNumberFormat="1" applyFill="1" applyBorder="1" applyAlignment="1">
      <alignment horizontal="center" vertical="center"/>
    </xf>
    <xf numFmtId="3" fontId="0" fillId="0" borderId="0" xfId="0" applyNumberFormat="1" applyFill="1" applyAlignment="1">
      <alignment/>
    </xf>
    <xf numFmtId="2" fontId="0" fillId="0" borderId="0" xfId="0" applyNumberFormat="1" applyAlignment="1">
      <alignment/>
    </xf>
    <xf numFmtId="196" fontId="3" fillId="36" borderId="10" xfId="0" applyNumberFormat="1" applyFont="1" applyFill="1" applyBorder="1" applyAlignment="1">
      <alignment/>
    </xf>
    <xf numFmtId="0" fontId="3" fillId="0" borderId="10" xfId="0" applyFont="1" applyBorder="1" applyAlignment="1">
      <alignment/>
    </xf>
    <xf numFmtId="193" fontId="3" fillId="0" borderId="10" xfId="0" applyNumberFormat="1" applyFont="1" applyBorder="1" applyAlignment="1">
      <alignment/>
    </xf>
    <xf numFmtId="0" fontId="0" fillId="0" borderId="10" xfId="0" applyBorder="1" applyAlignment="1">
      <alignment/>
    </xf>
    <xf numFmtId="193" fontId="0" fillId="0" borderId="10" xfId="0" applyNumberFormat="1" applyBorder="1" applyAlignment="1">
      <alignment/>
    </xf>
    <xf numFmtId="0" fontId="16" fillId="0" borderId="10" xfId="0" applyFont="1" applyBorder="1" applyAlignment="1">
      <alignment horizontal="center" vertical="center"/>
    </xf>
    <xf numFmtId="0" fontId="3" fillId="0" borderId="18" xfId="0" applyFont="1" applyBorder="1" applyAlignment="1">
      <alignment horizontal="center" vertical="top"/>
    </xf>
    <xf numFmtId="3" fontId="0" fillId="0" borderId="10" xfId="0" applyNumberFormat="1" applyBorder="1" applyAlignment="1">
      <alignment/>
    </xf>
    <xf numFmtId="3" fontId="3" fillId="36" borderId="10" xfId="0" applyNumberFormat="1" applyFont="1" applyFill="1" applyBorder="1" applyAlignment="1">
      <alignment/>
    </xf>
    <xf numFmtId="0" fontId="16" fillId="0" borderId="10" xfId="0" applyFont="1" applyBorder="1" applyAlignment="1">
      <alignment horizontal="center" vertical="center" wrapText="1"/>
    </xf>
    <xf numFmtId="0" fontId="0" fillId="0" borderId="10" xfId="0" applyBorder="1" applyAlignment="1">
      <alignment horizontal="center"/>
    </xf>
    <xf numFmtId="0" fontId="0" fillId="0" borderId="0" xfId="0" applyAlignment="1">
      <alignment horizontal="center"/>
    </xf>
    <xf numFmtId="0" fontId="3" fillId="36" borderId="10" xfId="0" applyFont="1" applyFill="1" applyBorder="1" applyAlignment="1">
      <alignment horizontal="center" vertical="center" wrapText="1"/>
    </xf>
    <xf numFmtId="0" fontId="0" fillId="34" borderId="10" xfId="0" applyFont="1" applyFill="1" applyBorder="1" applyAlignment="1">
      <alignment/>
    </xf>
    <xf numFmtId="0" fontId="3" fillId="0" borderId="10" xfId="0" applyFont="1" applyBorder="1" applyAlignment="1">
      <alignment horizontal="center" vertical="center"/>
    </xf>
    <xf numFmtId="187" fontId="18" fillId="0" borderId="10" xfId="42" applyNumberFormat="1" applyFont="1" applyFill="1" applyBorder="1" applyAlignment="1" quotePrefix="1">
      <alignment vertical="center"/>
    </xf>
    <xf numFmtId="187" fontId="19" fillId="0" borderId="0" xfId="0" applyNumberFormat="1" applyFont="1" applyFill="1" applyAlignment="1">
      <alignment/>
    </xf>
    <xf numFmtId="0" fontId="19" fillId="0" borderId="0" xfId="0" applyFont="1" applyFill="1" applyAlignment="1">
      <alignment/>
    </xf>
    <xf numFmtId="0" fontId="19" fillId="34" borderId="0" xfId="0" applyFont="1" applyFill="1" applyAlignment="1">
      <alignment/>
    </xf>
    <xf numFmtId="187" fontId="19" fillId="0" borderId="10" xfId="42" applyNumberFormat="1" applyFont="1" applyFill="1" applyBorder="1" applyAlignment="1">
      <alignment vertical="center"/>
    </xf>
    <xf numFmtId="3" fontId="19" fillId="0" borderId="10" xfId="42" applyNumberFormat="1" applyFont="1" applyFill="1" applyBorder="1" applyAlignment="1">
      <alignment vertical="center"/>
    </xf>
    <xf numFmtId="0" fontId="19" fillId="0" borderId="10" xfId="0" applyFont="1" applyFill="1" applyBorder="1" applyAlignment="1">
      <alignment/>
    </xf>
    <xf numFmtId="187" fontId="18" fillId="0" borderId="10" xfId="42" applyNumberFormat="1" applyFont="1" applyFill="1" applyBorder="1" applyAlignment="1">
      <alignment vertical="center"/>
    </xf>
    <xf numFmtId="3" fontId="18" fillId="0" borderId="10" xfId="42" applyNumberFormat="1" applyFont="1" applyFill="1" applyBorder="1" applyAlignment="1">
      <alignment vertical="center"/>
    </xf>
    <xf numFmtId="187" fontId="19" fillId="0" borderId="10" xfId="0" applyNumberFormat="1" applyFont="1" applyFill="1" applyBorder="1" applyAlignment="1">
      <alignment/>
    </xf>
    <xf numFmtId="187" fontId="19" fillId="0" borderId="10" xfId="42" applyNumberFormat="1" applyFont="1" applyFill="1" applyBorder="1" applyAlignment="1">
      <alignment horizontal="right" vertical="center" wrapText="1"/>
    </xf>
    <xf numFmtId="187" fontId="19" fillId="0" borderId="10" xfId="42" applyNumberFormat="1" applyFont="1" applyFill="1" applyBorder="1" applyAlignment="1">
      <alignment wrapText="1"/>
    </xf>
    <xf numFmtId="0" fontId="18" fillId="34" borderId="0" xfId="0" applyFont="1" applyFill="1" applyAlignment="1">
      <alignment/>
    </xf>
    <xf numFmtId="0" fontId="19" fillId="0" borderId="10" xfId="0" applyFont="1" applyFill="1" applyBorder="1" applyAlignment="1">
      <alignment horizontal="left" vertical="center"/>
    </xf>
    <xf numFmtId="0" fontId="19" fillId="0" borderId="10" xfId="0" applyFont="1" applyFill="1" applyBorder="1" applyAlignment="1">
      <alignment vertical="center"/>
    </xf>
    <xf numFmtId="0" fontId="19" fillId="0" borderId="10" xfId="0" applyFont="1" applyFill="1" applyBorder="1" applyAlignment="1">
      <alignment horizontal="center" vertical="center"/>
    </xf>
    <xf numFmtId="0" fontId="18" fillId="0" borderId="10" xfId="0" applyFont="1" applyFill="1" applyBorder="1" applyAlignment="1">
      <alignment vertical="center"/>
    </xf>
    <xf numFmtId="0" fontId="18" fillId="0" borderId="10" xfId="0" applyFont="1" applyFill="1" applyBorder="1" applyAlignment="1">
      <alignment horizontal="center" vertical="center"/>
    </xf>
    <xf numFmtId="0" fontId="18" fillId="0" borderId="10" xfId="0" applyFont="1" applyFill="1" applyBorder="1" applyAlignment="1">
      <alignment horizontal="left" vertical="center"/>
    </xf>
    <xf numFmtId="0" fontId="19" fillId="0" borderId="10" xfId="0" applyFont="1" applyFill="1" applyBorder="1" applyAlignment="1">
      <alignment horizontal="left" vertical="center" wrapText="1"/>
    </xf>
    <xf numFmtId="0" fontId="18" fillId="0" borderId="10" xfId="0" applyFont="1" applyFill="1" applyBorder="1" applyAlignment="1">
      <alignment vertical="center" wrapText="1"/>
    </xf>
    <xf numFmtId="0" fontId="19" fillId="0" borderId="10" xfId="0" applyFont="1" applyFill="1" applyBorder="1" applyAlignment="1">
      <alignment vertical="center" wrapText="1"/>
    </xf>
    <xf numFmtId="0" fontId="18" fillId="0" borderId="10" xfId="0" applyFont="1" applyFill="1" applyBorder="1" applyAlignment="1">
      <alignment horizontal="left" vertical="center" wrapText="1"/>
    </xf>
    <xf numFmtId="187" fontId="19" fillId="0" borderId="10" xfId="0" applyNumberFormat="1" applyFont="1" applyFill="1" applyBorder="1" applyAlignment="1" quotePrefix="1">
      <alignment vertical="center" wrapText="1"/>
    </xf>
    <xf numFmtId="0" fontId="18" fillId="0" borderId="10" xfId="0" applyFont="1" applyFill="1" applyBorder="1" applyAlignment="1">
      <alignment horizontal="center" vertical="center" wrapText="1"/>
    </xf>
    <xf numFmtId="3" fontId="18" fillId="0" borderId="10" xfId="42" applyNumberFormat="1" applyFont="1" applyFill="1" applyBorder="1" applyAlignment="1">
      <alignment horizontal="center" vertical="center" wrapText="1"/>
    </xf>
    <xf numFmtId="3" fontId="18" fillId="0" borderId="10" xfId="42" applyNumberFormat="1" applyFont="1" applyFill="1" applyBorder="1" applyAlignment="1">
      <alignment horizontal="center" vertical="center"/>
    </xf>
    <xf numFmtId="0" fontId="10" fillId="0" borderId="0" xfId="0" applyFont="1" applyAlignment="1">
      <alignment/>
    </xf>
    <xf numFmtId="0" fontId="0" fillId="0" borderId="10" xfId="0" applyFont="1" applyBorder="1" applyAlignment="1">
      <alignment/>
    </xf>
    <xf numFmtId="0" fontId="0" fillId="0" borderId="10" xfId="0" applyFont="1" applyBorder="1" applyAlignment="1">
      <alignment wrapText="1"/>
    </xf>
    <xf numFmtId="0" fontId="0" fillId="0" borderId="0" xfId="0" applyAlignment="1">
      <alignment horizontal="center" vertical="center"/>
    </xf>
    <xf numFmtId="0" fontId="3" fillId="0" borderId="10" xfId="0" applyFont="1" applyBorder="1" applyAlignment="1">
      <alignment horizontal="center"/>
    </xf>
    <xf numFmtId="0" fontId="0" fillId="0" borderId="10" xfId="0" applyFont="1" applyBorder="1" applyAlignment="1">
      <alignment horizontal="center" vertical="center"/>
    </xf>
    <xf numFmtId="0" fontId="84" fillId="0" borderId="10" xfId="0" applyFont="1" applyBorder="1" applyAlignment="1">
      <alignment horizontal="justify" vertical="center"/>
    </xf>
    <xf numFmtId="0" fontId="84" fillId="0" borderId="10" xfId="0" applyFont="1" applyBorder="1" applyAlignment="1">
      <alignment wrapText="1"/>
    </xf>
    <xf numFmtId="0" fontId="0" fillId="0" borderId="10" xfId="0" applyFont="1" applyBorder="1" applyAlignment="1">
      <alignment horizontal="justify" vertical="center"/>
    </xf>
    <xf numFmtId="0" fontId="0" fillId="0" borderId="10" xfId="0" applyFont="1" applyBorder="1" applyAlignment="1">
      <alignment horizontal="justify" vertical="center" wrapText="1"/>
    </xf>
    <xf numFmtId="0" fontId="23" fillId="0" borderId="10" xfId="0" applyFont="1" applyBorder="1" applyAlignment="1">
      <alignment horizontal="justify" vertical="center" wrapText="1"/>
    </xf>
    <xf numFmtId="0" fontId="84" fillId="0" borderId="10" xfId="0" applyFont="1" applyBorder="1" applyAlignment="1">
      <alignment horizontal="justify" vertical="center" wrapText="1"/>
    </xf>
    <xf numFmtId="0" fontId="85" fillId="0" borderId="10"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0" xfId="0" applyFont="1" applyBorder="1" applyAlignment="1">
      <alignment horizontal="center" vertical="center"/>
    </xf>
    <xf numFmtId="0" fontId="85" fillId="0" borderId="10" xfId="0" applyFont="1" applyBorder="1" applyAlignment="1">
      <alignment horizontal="center" vertical="center"/>
    </xf>
    <xf numFmtId="0" fontId="84" fillId="0" borderId="10" xfId="0" applyFont="1" applyBorder="1" applyAlignment="1">
      <alignment horizontal="center" vertical="center" wrapText="1"/>
    </xf>
    <xf numFmtId="0" fontId="0" fillId="0" borderId="10" xfId="0" applyFont="1" applyBorder="1" applyAlignment="1">
      <alignment vertical="center"/>
    </xf>
    <xf numFmtId="0" fontId="0" fillId="0" borderId="10" xfId="0" applyFont="1" applyBorder="1" applyAlignment="1">
      <alignment vertical="center" wrapText="1"/>
    </xf>
    <xf numFmtId="3" fontId="8" fillId="0" borderId="0" xfId="0" applyNumberFormat="1" applyFont="1" applyAlignment="1">
      <alignment/>
    </xf>
    <xf numFmtId="3" fontId="0" fillId="0" borderId="0" xfId="0" applyNumberFormat="1" applyAlignment="1">
      <alignment/>
    </xf>
    <xf numFmtId="3" fontId="13" fillId="0" borderId="0" xfId="0" applyNumberFormat="1" applyFont="1" applyAlignment="1">
      <alignment/>
    </xf>
    <xf numFmtId="187" fontId="86" fillId="0" borderId="10" xfId="42" applyNumberFormat="1" applyFont="1" applyFill="1" applyBorder="1" applyAlignment="1">
      <alignment vertical="center"/>
    </xf>
    <xf numFmtId="0" fontId="19" fillId="0" borderId="10" xfId="0" applyFont="1" applyFill="1" applyBorder="1" applyAlignment="1" quotePrefix="1">
      <alignment vertical="center" wrapText="1"/>
    </xf>
    <xf numFmtId="187" fontId="18" fillId="0" borderId="10" xfId="0" applyNumberFormat="1" applyFont="1" applyFill="1" applyBorder="1" applyAlignment="1">
      <alignment/>
    </xf>
    <xf numFmtId="0" fontId="18" fillId="0" borderId="10" xfId="0" applyFont="1" applyFill="1" applyBorder="1" applyAlignment="1">
      <alignment/>
    </xf>
    <xf numFmtId="187" fontId="24" fillId="0" borderId="10" xfId="0" applyNumberFormat="1" applyFont="1" applyFill="1" applyBorder="1" applyAlignment="1">
      <alignment/>
    </xf>
    <xf numFmtId="187" fontId="18" fillId="0" borderId="10" xfId="0" applyNumberFormat="1" applyFont="1" applyFill="1" applyBorder="1" applyAlignment="1">
      <alignment/>
    </xf>
    <xf numFmtId="187" fontId="18" fillId="0" borderId="0" xfId="0" applyNumberFormat="1" applyFont="1" applyFill="1" applyAlignment="1">
      <alignment/>
    </xf>
    <xf numFmtId="187" fontId="18" fillId="0" borderId="10" xfId="42" applyNumberFormat="1" applyFont="1" applyFill="1" applyBorder="1" applyAlignment="1">
      <alignment/>
    </xf>
    <xf numFmtId="0" fontId="18" fillId="0" borderId="0" xfId="0" applyFont="1" applyFill="1" applyAlignment="1">
      <alignment/>
    </xf>
    <xf numFmtId="0" fontId="3" fillId="34" borderId="0" xfId="0" applyFont="1" applyFill="1" applyAlignment="1">
      <alignment/>
    </xf>
    <xf numFmtId="0" fontId="0" fillId="0" borderId="0" xfId="0" applyFont="1" applyAlignment="1">
      <alignment wrapText="1"/>
    </xf>
    <xf numFmtId="0" fontId="0" fillId="34" borderId="0" xfId="0" applyFont="1" applyFill="1" applyAlignment="1">
      <alignment/>
    </xf>
    <xf numFmtId="3" fontId="3" fillId="0" borderId="0" xfId="0" applyNumberFormat="1" applyFont="1" applyAlignment="1">
      <alignment/>
    </xf>
    <xf numFmtId="3" fontId="0" fillId="0" borderId="0" xfId="0" applyNumberFormat="1" applyFont="1" applyAlignment="1">
      <alignment/>
    </xf>
    <xf numFmtId="0" fontId="3" fillId="34" borderId="0" xfId="0" applyFont="1" applyFill="1" applyAlignment="1">
      <alignment horizontal="center"/>
    </xf>
    <xf numFmtId="3" fontId="0" fillId="0" borderId="0" xfId="0" applyNumberFormat="1" applyFont="1" applyFill="1" applyAlignment="1">
      <alignment horizontal="center" vertical="center"/>
    </xf>
    <xf numFmtId="0" fontId="0" fillId="34" borderId="0" xfId="0" applyFont="1" applyFill="1" applyAlignment="1">
      <alignment horizontal="center"/>
    </xf>
    <xf numFmtId="0" fontId="0" fillId="34" borderId="10" xfId="0" applyFill="1" applyBorder="1" applyAlignment="1">
      <alignment/>
    </xf>
    <xf numFmtId="0" fontId="0" fillId="34" borderId="10" xfId="0" applyFill="1" applyBorder="1" applyAlignment="1">
      <alignment horizontal="center" vertical="center"/>
    </xf>
    <xf numFmtId="0" fontId="0" fillId="0" borderId="10" xfId="0" applyFont="1" applyFill="1" applyBorder="1" applyAlignment="1">
      <alignment wrapText="1"/>
    </xf>
    <xf numFmtId="3" fontId="79" fillId="34" borderId="10" xfId="0" applyNumberFormat="1" applyFont="1" applyFill="1" applyBorder="1" applyAlignment="1">
      <alignment horizontal="center" vertical="center"/>
    </xf>
    <xf numFmtId="3" fontId="12" fillId="34" borderId="0" xfId="0" applyNumberFormat="1" applyFont="1" applyFill="1" applyAlignment="1">
      <alignment/>
    </xf>
    <xf numFmtId="0" fontId="3" fillId="34" borderId="10" xfId="0" applyFont="1" applyFill="1" applyBorder="1" applyAlignment="1">
      <alignment/>
    </xf>
    <xf numFmtId="3" fontId="0" fillId="34" borderId="0" xfId="0" applyNumberFormat="1" applyFill="1" applyAlignment="1">
      <alignment/>
    </xf>
    <xf numFmtId="0" fontId="12" fillId="37" borderId="0" xfId="0" applyFont="1" applyFill="1" applyAlignment="1">
      <alignment/>
    </xf>
    <xf numFmtId="0" fontId="0" fillId="37" borderId="10" xfId="0" applyFill="1" applyBorder="1" applyAlignment="1">
      <alignment/>
    </xf>
    <xf numFmtId="0" fontId="3" fillId="37" borderId="10" xfId="0" applyFont="1" applyFill="1" applyBorder="1" applyAlignment="1">
      <alignment/>
    </xf>
    <xf numFmtId="3" fontId="16" fillId="37" borderId="0" xfId="0" applyNumberFormat="1" applyFont="1" applyFill="1" applyAlignment="1">
      <alignment/>
    </xf>
    <xf numFmtId="0" fontId="0" fillId="37" borderId="0" xfId="0" applyFill="1" applyAlignment="1">
      <alignment/>
    </xf>
    <xf numFmtId="3" fontId="0" fillId="35" borderId="0" xfId="0" applyNumberFormat="1" applyFill="1" applyAlignment="1">
      <alignment/>
    </xf>
    <xf numFmtId="0" fontId="0" fillId="0" borderId="0" xfId="0" applyBorder="1" applyAlignment="1">
      <alignment/>
    </xf>
    <xf numFmtId="0" fontId="3" fillId="34" borderId="10" xfId="0" applyFont="1" applyFill="1" applyBorder="1" applyAlignment="1">
      <alignment horizontal="center" vertical="center" wrapText="1"/>
    </xf>
    <xf numFmtId="0" fontId="26" fillId="0" borderId="10" xfId="0" applyFont="1" applyBorder="1" applyAlignment="1">
      <alignment horizontal="center" vertical="center" wrapText="1"/>
    </xf>
    <xf numFmtId="0" fontId="27" fillId="0" borderId="10" xfId="0" applyFont="1" applyBorder="1" applyAlignment="1">
      <alignment/>
    </xf>
    <xf numFmtId="0" fontId="27" fillId="0" borderId="0" xfId="0" applyFont="1" applyBorder="1" applyAlignment="1">
      <alignment/>
    </xf>
    <xf numFmtId="0" fontId="27" fillId="0" borderId="0" xfId="0" applyFont="1" applyAlignment="1">
      <alignment/>
    </xf>
    <xf numFmtId="0" fontId="0" fillId="0" borderId="10" xfId="0" applyFont="1" applyBorder="1" applyAlignment="1">
      <alignment horizontal="center" vertical="center" wrapText="1"/>
    </xf>
    <xf numFmtId="0" fontId="0" fillId="0" borderId="0" xfId="0" applyFont="1" applyBorder="1" applyAlignment="1">
      <alignment/>
    </xf>
    <xf numFmtId="0" fontId="0" fillId="34" borderId="10" xfId="0" applyFont="1" applyFill="1" applyBorder="1" applyAlignment="1">
      <alignment horizontal="center" vertical="center" wrapText="1"/>
    </xf>
    <xf numFmtId="0" fontId="0" fillId="34" borderId="10" xfId="0" applyFont="1" applyFill="1" applyBorder="1" applyAlignment="1">
      <alignment horizontal="justify" vertical="center" wrapText="1"/>
    </xf>
    <xf numFmtId="0" fontId="10" fillId="0" borderId="0" xfId="0" applyFont="1" applyBorder="1" applyAlignment="1">
      <alignment/>
    </xf>
    <xf numFmtId="0" fontId="1" fillId="0" borderId="10" xfId="0" applyFont="1" applyFill="1" applyBorder="1" applyAlignment="1">
      <alignment horizontal="center" vertical="center" wrapText="1"/>
    </xf>
    <xf numFmtId="0" fontId="26" fillId="0" borderId="11" xfId="0" applyFont="1" applyBorder="1" applyAlignment="1">
      <alignment horizontal="center" vertical="center" wrapText="1"/>
    </xf>
    <xf numFmtId="0" fontId="0" fillId="34" borderId="19"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5" xfId="0" applyFont="1" applyBorder="1" applyAlignment="1">
      <alignment horizontal="justify" vertical="center" wrapText="1"/>
    </xf>
    <xf numFmtId="0" fontId="0" fillId="0" borderId="15" xfId="0" applyFont="1" applyBorder="1" applyAlignment="1">
      <alignment horizontal="center" vertical="center" wrapText="1"/>
    </xf>
    <xf numFmtId="0" fontId="0" fillId="0" borderId="15" xfId="0" applyFont="1" applyBorder="1" applyAlignment="1">
      <alignment/>
    </xf>
    <xf numFmtId="3" fontId="3" fillId="0" borderId="10" xfId="0" applyNumberFormat="1" applyFont="1" applyBorder="1" applyAlignment="1">
      <alignment/>
    </xf>
    <xf numFmtId="0" fontId="3" fillId="0" borderId="0" xfId="0" applyFont="1" applyBorder="1" applyAlignment="1">
      <alignment/>
    </xf>
    <xf numFmtId="196" fontId="0" fillId="0" borderId="0" xfId="0" applyNumberFormat="1" applyAlignment="1">
      <alignment/>
    </xf>
    <xf numFmtId="0" fontId="61" fillId="34" borderId="0" xfId="0" applyFont="1" applyFill="1" applyAlignment="1">
      <alignment/>
    </xf>
    <xf numFmtId="0" fontId="61" fillId="0" borderId="0" xfId="0" applyFont="1" applyAlignment="1">
      <alignment/>
    </xf>
    <xf numFmtId="0" fontId="61" fillId="34" borderId="0" xfId="0" applyFont="1" applyFill="1" applyAlignment="1">
      <alignment horizontal="right"/>
    </xf>
    <xf numFmtId="0" fontId="3" fillId="0" borderId="10" xfId="0" applyFont="1" applyFill="1" applyBorder="1" applyAlignment="1">
      <alignment horizontal="center" vertical="center" wrapText="1"/>
    </xf>
    <xf numFmtId="0" fontId="0" fillId="34" borderId="10" xfId="0" applyFont="1" applyFill="1" applyBorder="1" applyAlignment="1">
      <alignment horizontal="left" vertical="center"/>
    </xf>
    <xf numFmtId="0" fontId="3" fillId="0" borderId="0" xfId="58" applyNumberFormat="1" applyFont="1" applyFill="1" applyBorder="1" applyAlignment="1">
      <alignment horizontal="center" vertical="center" wrapText="1"/>
      <protection/>
    </xf>
    <xf numFmtId="0" fontId="3" fillId="0" borderId="10" xfId="58" applyNumberFormat="1" applyFont="1" applyFill="1" applyBorder="1" applyAlignment="1">
      <alignment vertical="center" wrapText="1"/>
      <protection/>
    </xf>
    <xf numFmtId="3" fontId="0" fillId="0" borderId="10" xfId="0" applyNumberFormat="1" applyFont="1" applyBorder="1" applyAlignment="1">
      <alignment/>
    </xf>
    <xf numFmtId="0" fontId="0" fillId="0" borderId="10" xfId="0" applyFont="1" applyBorder="1" applyAlignment="1">
      <alignment horizontal="center"/>
    </xf>
    <xf numFmtId="3" fontId="3" fillId="0" borderId="10" xfId="0" applyNumberFormat="1" applyFont="1" applyBorder="1" applyAlignment="1">
      <alignment horizontal="center"/>
    </xf>
    <xf numFmtId="1" fontId="3" fillId="0" borderId="0" xfId="0" applyNumberFormat="1" applyFont="1" applyAlignment="1">
      <alignment/>
    </xf>
    <xf numFmtId="0" fontId="0" fillId="34" borderId="0" xfId="0" applyFont="1" applyFill="1" applyBorder="1" applyAlignment="1">
      <alignment/>
    </xf>
    <xf numFmtId="0" fontId="0" fillId="38" borderId="21" xfId="0" applyFont="1" applyFill="1" applyBorder="1" applyAlignment="1">
      <alignment horizontal="center" vertical="center" wrapText="1"/>
    </xf>
    <xf numFmtId="0" fontId="0" fillId="38" borderId="10" xfId="0" applyFont="1" applyFill="1" applyBorder="1" applyAlignment="1">
      <alignment horizontal="justify" vertical="center" wrapText="1"/>
    </xf>
    <xf numFmtId="0" fontId="0" fillId="38" borderId="10" xfId="0" applyFont="1" applyFill="1" applyBorder="1" applyAlignment="1">
      <alignment horizontal="center" vertical="center" wrapText="1"/>
    </xf>
    <xf numFmtId="0" fontId="0" fillId="38" borderId="10" xfId="0" applyFont="1" applyFill="1" applyBorder="1" applyAlignment="1">
      <alignment/>
    </xf>
    <xf numFmtId="0" fontId="0" fillId="38" borderId="0" xfId="0" applyFont="1" applyFill="1" applyAlignment="1">
      <alignment/>
    </xf>
    <xf numFmtId="0" fontId="0" fillId="39" borderId="19" xfId="0" applyFont="1" applyFill="1" applyBorder="1" applyAlignment="1">
      <alignment horizontal="center" vertical="center" wrapText="1"/>
    </xf>
    <xf numFmtId="0" fontId="0" fillId="39" borderId="10" xfId="0" applyFont="1" applyFill="1" applyBorder="1" applyAlignment="1">
      <alignment horizontal="justify" vertical="center" wrapText="1"/>
    </xf>
    <xf numFmtId="0" fontId="0" fillId="39" borderId="10" xfId="0" applyFont="1" applyFill="1" applyBorder="1" applyAlignment="1">
      <alignment horizontal="center" vertical="center" wrapText="1"/>
    </xf>
    <xf numFmtId="0" fontId="0" fillId="39" borderId="10" xfId="0" applyFont="1" applyFill="1" applyBorder="1" applyAlignment="1">
      <alignment/>
    </xf>
    <xf numFmtId="0" fontId="0" fillId="39" borderId="0" xfId="0" applyFont="1" applyFill="1" applyAlignment="1">
      <alignment/>
    </xf>
    <xf numFmtId="0" fontId="25" fillId="0" borderId="0" xfId="0" applyFont="1" applyAlignment="1">
      <alignment/>
    </xf>
    <xf numFmtId="3" fontId="16" fillId="34" borderId="17" xfId="0" applyNumberFormat="1" applyFont="1" applyFill="1" applyBorder="1" applyAlignment="1">
      <alignment horizontal="center"/>
    </xf>
    <xf numFmtId="193" fontId="3" fillId="36" borderId="10" xfId="0" applyNumberFormat="1" applyFont="1" applyFill="1" applyBorder="1" applyAlignment="1">
      <alignment/>
    </xf>
    <xf numFmtId="3" fontId="3" fillId="35" borderId="10" xfId="0" applyNumberFormat="1" applyFont="1" applyFill="1" applyBorder="1" applyAlignment="1">
      <alignment/>
    </xf>
    <xf numFmtId="1" fontId="16" fillId="35" borderId="10" xfId="0" applyNumberFormat="1" applyFont="1" applyFill="1" applyBorder="1" applyAlignment="1">
      <alignment horizontal="center" vertical="center" wrapText="1"/>
    </xf>
    <xf numFmtId="0" fontId="0" fillId="35" borderId="10" xfId="0" applyFill="1" applyBorder="1" applyAlignment="1">
      <alignment horizontal="center"/>
    </xf>
    <xf numFmtId="0" fontId="3" fillId="35" borderId="10" xfId="0" applyFont="1" applyFill="1" applyBorder="1" applyAlignment="1">
      <alignment/>
    </xf>
    <xf numFmtId="187" fontId="18" fillId="35" borderId="10" xfId="42" applyNumberFormat="1" applyFont="1" applyFill="1" applyBorder="1" applyAlignment="1">
      <alignment vertical="center"/>
    </xf>
    <xf numFmtId="0" fontId="14" fillId="35" borderId="0" xfId="0" applyFont="1" applyFill="1" applyBorder="1" applyAlignment="1">
      <alignment/>
    </xf>
    <xf numFmtId="3" fontId="18" fillId="35" borderId="10" xfId="42" applyNumberFormat="1" applyFont="1" applyFill="1" applyBorder="1" applyAlignment="1">
      <alignment horizontal="center" vertical="center"/>
    </xf>
    <xf numFmtId="187" fontId="18" fillId="35" borderId="10" xfId="42" applyNumberFormat="1" applyFont="1" applyFill="1" applyBorder="1" applyAlignment="1" quotePrefix="1">
      <alignment vertical="center"/>
    </xf>
    <xf numFmtId="0" fontId="19" fillId="35" borderId="10" xfId="0" applyFont="1" applyFill="1" applyBorder="1" applyAlignment="1">
      <alignment/>
    </xf>
    <xf numFmtId="187" fontId="19" fillId="35" borderId="10" xfId="42" applyNumberFormat="1" applyFont="1" applyFill="1" applyBorder="1" applyAlignment="1">
      <alignment vertical="center"/>
    </xf>
    <xf numFmtId="0" fontId="18" fillId="35" borderId="10" xfId="0" applyFont="1" applyFill="1" applyBorder="1" applyAlignment="1">
      <alignment/>
    </xf>
    <xf numFmtId="3" fontId="19" fillId="35" borderId="10" xfId="0" applyNumberFormat="1" applyFont="1" applyFill="1" applyBorder="1" applyAlignment="1">
      <alignment/>
    </xf>
    <xf numFmtId="0" fontId="14" fillId="35" borderId="0" xfId="0" applyFont="1" applyFill="1" applyAlignment="1">
      <alignment/>
    </xf>
    <xf numFmtId="0" fontId="19" fillId="35" borderId="10" xfId="0" applyFont="1" applyFill="1" applyBorder="1" applyAlignment="1">
      <alignment horizontal="center" vertical="center"/>
    </xf>
    <xf numFmtId="0" fontId="18" fillId="35" borderId="10" xfId="0" applyFont="1" applyFill="1" applyBorder="1" applyAlignment="1">
      <alignment horizontal="left" vertical="center" wrapText="1"/>
    </xf>
    <xf numFmtId="3" fontId="19" fillId="35" borderId="10" xfId="42" applyNumberFormat="1" applyFont="1" applyFill="1" applyBorder="1" applyAlignment="1">
      <alignment vertical="center"/>
    </xf>
    <xf numFmtId="0" fontId="19" fillId="35" borderId="10" xfId="0" applyFont="1" applyFill="1" applyBorder="1" applyAlignment="1">
      <alignment vertical="center" wrapText="1"/>
    </xf>
    <xf numFmtId="187" fontId="19" fillId="35" borderId="0" xfId="0" applyNumberFormat="1" applyFont="1" applyFill="1" applyAlignment="1">
      <alignment/>
    </xf>
    <xf numFmtId="0" fontId="19" fillId="35" borderId="0" xfId="0" applyFont="1" applyFill="1" applyAlignment="1">
      <alignment/>
    </xf>
    <xf numFmtId="187" fontId="0" fillId="0" borderId="0" xfId="0" applyNumberFormat="1" applyFill="1" applyAlignment="1">
      <alignment/>
    </xf>
    <xf numFmtId="0" fontId="0" fillId="0" borderId="0" xfId="0" applyFont="1" applyAlignment="1">
      <alignment horizontal="right"/>
    </xf>
    <xf numFmtId="196" fontId="0" fillId="0" borderId="0" xfId="0" applyNumberFormat="1" applyFill="1" applyAlignment="1">
      <alignment horizontal="left" indent="2"/>
    </xf>
    <xf numFmtId="2" fontId="0" fillId="0" borderId="0" xfId="0" applyNumberFormat="1" applyFill="1" applyAlignment="1">
      <alignment/>
    </xf>
    <xf numFmtId="0" fontId="0" fillId="0" borderId="0" xfId="0" applyNumberFormat="1" applyFont="1" applyFill="1" applyAlignment="1">
      <alignment horizontal="center" vertical="center" wrapText="1"/>
    </xf>
    <xf numFmtId="0" fontId="0" fillId="0" borderId="0" xfId="0" applyNumberFormat="1" applyFont="1" applyFill="1" applyAlignment="1">
      <alignment vertical="center" wrapText="1"/>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vertical="center" wrapText="1"/>
    </xf>
    <xf numFmtId="0" fontId="0" fillId="0" borderId="10" xfId="0" applyNumberFormat="1" applyFont="1" applyFill="1" applyBorder="1" applyAlignment="1">
      <alignment vertical="center" wrapText="1"/>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justify" vertical="center" wrapText="1"/>
    </xf>
    <xf numFmtId="0" fontId="76"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3" fontId="0" fillId="0" borderId="10" xfId="0" applyNumberFormat="1" applyFont="1" applyFill="1" applyBorder="1" applyAlignment="1">
      <alignment horizontal="center" vertical="center" wrapText="1"/>
    </xf>
    <xf numFmtId="0" fontId="0" fillId="0" borderId="0" xfId="0" applyFont="1" applyFill="1" applyAlignment="1">
      <alignment horizontal="center" vertical="center"/>
    </xf>
    <xf numFmtId="3" fontId="12" fillId="0" borderId="22" xfId="0" applyNumberFormat="1" applyFont="1" applyFill="1" applyBorder="1" applyAlignment="1">
      <alignment vertical="center"/>
    </xf>
    <xf numFmtId="0" fontId="76" fillId="0" borderId="10" xfId="0" applyFont="1" applyFill="1" applyBorder="1" applyAlignment="1">
      <alignment vertical="center" wrapText="1"/>
    </xf>
    <xf numFmtId="0" fontId="76" fillId="0" borderId="10" xfId="0" applyFont="1" applyFill="1" applyBorder="1" applyAlignment="1">
      <alignment horizontal="center" vertical="center" wrapText="1"/>
    </xf>
    <xf numFmtId="0" fontId="61" fillId="0" borderId="10" xfId="0" applyFont="1" applyFill="1" applyBorder="1" applyAlignment="1">
      <alignment horizontal="center" vertical="center"/>
    </xf>
    <xf numFmtId="0" fontId="61" fillId="0" borderId="10" xfId="0" applyFont="1" applyFill="1" applyBorder="1" applyAlignment="1">
      <alignment vertical="center" wrapText="1"/>
    </xf>
    <xf numFmtId="0" fontId="61" fillId="0" borderId="10" xfId="0" applyFont="1" applyFill="1" applyBorder="1" applyAlignment="1">
      <alignment horizontal="center" vertical="center" wrapText="1"/>
    </xf>
    <xf numFmtId="0" fontId="0" fillId="0" borderId="10" xfId="0" applyFont="1" applyFill="1" applyBorder="1" applyAlignment="1">
      <alignment vertical="center"/>
    </xf>
    <xf numFmtId="187" fontId="0" fillId="0" borderId="10" xfId="42" applyNumberFormat="1" applyFont="1" applyFill="1" applyBorder="1" applyAlignment="1">
      <alignment vertical="center"/>
    </xf>
    <xf numFmtId="187" fontId="0" fillId="0" borderId="10" xfId="0" applyNumberFormat="1" applyFont="1" applyFill="1" applyBorder="1" applyAlignment="1">
      <alignment horizontal="center" vertical="center" wrapText="1"/>
    </xf>
    <xf numFmtId="0" fontId="3" fillId="0" borderId="10" xfId="0" applyFont="1" applyFill="1" applyBorder="1" applyAlignment="1">
      <alignment horizontal="justify" vertical="center"/>
    </xf>
    <xf numFmtId="0" fontId="3" fillId="0" borderId="10" xfId="0" applyFont="1" applyFill="1" applyBorder="1" applyAlignment="1">
      <alignment vertical="center" wrapText="1"/>
    </xf>
    <xf numFmtId="0" fontId="0" fillId="0" borderId="10" xfId="0" applyFont="1" applyFill="1" applyBorder="1" applyAlignment="1">
      <alignment vertical="center" wrapText="1"/>
    </xf>
    <xf numFmtId="0" fontId="61" fillId="0" borderId="10" xfId="0" applyFont="1" applyFill="1" applyBorder="1" applyAlignment="1">
      <alignment horizontal="justify" vertical="center"/>
    </xf>
    <xf numFmtId="3" fontId="0" fillId="0" borderId="10" xfId="0" applyNumberFormat="1" applyFont="1" applyFill="1" applyBorder="1" applyAlignment="1">
      <alignment vertical="center"/>
    </xf>
    <xf numFmtId="0" fontId="0" fillId="0" borderId="10" xfId="0" applyFont="1" applyFill="1" applyBorder="1" applyAlignment="1">
      <alignment horizontal="justify" vertical="center"/>
    </xf>
    <xf numFmtId="0" fontId="61" fillId="0" borderId="10" xfId="0" applyFont="1" applyFill="1" applyBorder="1" applyAlignment="1">
      <alignment horizontal="left" vertical="center" wrapText="1"/>
    </xf>
    <xf numFmtId="187" fontId="3" fillId="0" borderId="10" xfId="42" applyNumberFormat="1" applyFont="1" applyFill="1" applyBorder="1" applyAlignment="1">
      <alignment vertical="center"/>
    </xf>
    <xf numFmtId="0" fontId="12" fillId="0" borderId="10" xfId="0" applyFont="1" applyFill="1" applyBorder="1" applyAlignment="1">
      <alignment vertical="center" wrapText="1"/>
    </xf>
    <xf numFmtId="0" fontId="1" fillId="0" borderId="11" xfId="0" applyNumberFormat="1" applyFont="1" applyFill="1" applyBorder="1" applyAlignment="1">
      <alignment vertical="center" wrapText="1"/>
    </xf>
    <xf numFmtId="0" fontId="12" fillId="0" borderId="11" xfId="0" applyNumberFormat="1" applyFont="1" applyFill="1" applyBorder="1" applyAlignment="1">
      <alignment vertical="center" wrapText="1"/>
    </xf>
    <xf numFmtId="187" fontId="0" fillId="0" borderId="10" xfId="62" applyNumberFormat="1" applyFont="1" applyFill="1" applyBorder="1" applyAlignment="1">
      <alignment horizontal="right" vertical="center" wrapText="1"/>
      <protection/>
    </xf>
    <xf numFmtId="187" fontId="61" fillId="0" borderId="10" xfId="0" applyNumberFormat="1" applyFont="1" applyFill="1" applyBorder="1" applyAlignment="1">
      <alignment horizontal="center" vertical="center" wrapText="1"/>
    </xf>
    <xf numFmtId="0" fontId="0" fillId="40" borderId="19" xfId="0" applyFont="1" applyFill="1" applyBorder="1" applyAlignment="1">
      <alignment horizontal="center" vertical="center" wrapText="1"/>
    </xf>
    <xf numFmtId="0" fontId="0" fillId="40" borderId="10" xfId="0" applyFont="1" applyFill="1" applyBorder="1" applyAlignment="1">
      <alignment horizontal="justify" vertical="center" wrapText="1"/>
    </xf>
    <xf numFmtId="0" fontId="0" fillId="40" borderId="10" xfId="0" applyFont="1" applyFill="1" applyBorder="1" applyAlignment="1">
      <alignment horizontal="center" vertical="center" wrapText="1"/>
    </xf>
    <xf numFmtId="0" fontId="0" fillId="40" borderId="10" xfId="0" applyFont="1" applyFill="1" applyBorder="1" applyAlignment="1">
      <alignment vertical="center"/>
    </xf>
    <xf numFmtId="0" fontId="0" fillId="40" borderId="0" xfId="0" applyFont="1" applyFill="1" applyAlignment="1">
      <alignment/>
    </xf>
    <xf numFmtId="0" fontId="0" fillId="40" borderId="10" xfId="0" applyFont="1" applyFill="1" applyBorder="1" applyAlignment="1">
      <alignment/>
    </xf>
    <xf numFmtId="187" fontId="3" fillId="0" borderId="10" xfId="0" applyNumberFormat="1" applyFont="1" applyFill="1" applyBorder="1" applyAlignment="1">
      <alignment horizontal="center" vertical="center"/>
    </xf>
    <xf numFmtId="187" fontId="76"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vertical="center" wrapText="1"/>
    </xf>
    <xf numFmtId="0" fontId="1" fillId="0" borderId="0" xfId="0" applyFont="1" applyFill="1" applyAlignment="1">
      <alignment horizontal="left" vertical="center" wrapText="1"/>
    </xf>
    <xf numFmtId="0" fontId="12" fillId="0" borderId="0" xfId="0" applyFont="1" applyFill="1" applyAlignment="1">
      <alignment horizontal="center" vertical="center"/>
    </xf>
    <xf numFmtId="3" fontId="12" fillId="0" borderId="10" xfId="0" applyNumberFormat="1" applyFont="1" applyFill="1" applyBorder="1" applyAlignment="1">
      <alignment horizontal="center" vertical="center" wrapText="1"/>
    </xf>
    <xf numFmtId="0" fontId="61" fillId="0" borderId="10" xfId="0" applyFont="1" applyFill="1" applyBorder="1" applyAlignment="1">
      <alignment vertical="center"/>
    </xf>
    <xf numFmtId="187" fontId="61" fillId="0" borderId="10" xfId="42" applyNumberFormat="1" applyFont="1" applyFill="1" applyBorder="1" applyAlignment="1">
      <alignment vertical="center"/>
    </xf>
    <xf numFmtId="0" fontId="76" fillId="0" borderId="10" xfId="0" applyFont="1" applyFill="1" applyBorder="1" applyAlignment="1">
      <alignment horizontal="justify" vertical="center"/>
    </xf>
    <xf numFmtId="0" fontId="21" fillId="0" borderId="10" xfId="61" applyFont="1" applyFill="1" applyBorder="1" applyAlignment="1" applyProtection="1">
      <alignment horizontal="left" vertical="center" wrapText="1"/>
      <protection/>
    </xf>
    <xf numFmtId="187" fontId="77" fillId="0" borderId="10" xfId="42" applyNumberFormat="1" applyFont="1" applyFill="1" applyBorder="1" applyAlignment="1">
      <alignment vertical="center"/>
    </xf>
    <xf numFmtId="3" fontId="16" fillId="0" borderId="10" xfId="0" applyNumberFormat="1" applyFont="1" applyFill="1" applyBorder="1" applyAlignment="1">
      <alignment horizontal="center" vertical="center" wrapText="1"/>
    </xf>
    <xf numFmtId="3" fontId="14" fillId="0" borderId="10" xfId="0" applyNumberFormat="1" applyFont="1" applyFill="1" applyBorder="1" applyAlignment="1">
      <alignment horizontal="center" vertical="center" wrapText="1"/>
    </xf>
    <xf numFmtId="3" fontId="87" fillId="0" borderId="10" xfId="0" applyNumberFormat="1" applyFont="1" applyFill="1" applyBorder="1" applyAlignment="1">
      <alignment horizontal="center" vertical="center" wrapText="1"/>
    </xf>
    <xf numFmtId="3" fontId="0" fillId="0" borderId="10" xfId="0" applyNumberFormat="1" applyFont="1" applyFill="1" applyBorder="1" applyAlignment="1">
      <alignment horizontal="right" vertical="center" wrapText="1"/>
    </xf>
    <xf numFmtId="187" fontId="0" fillId="0" borderId="10" xfId="42" applyNumberFormat="1" applyFont="1" applyFill="1" applyBorder="1" applyAlignment="1">
      <alignment horizontal="right" vertical="center"/>
    </xf>
    <xf numFmtId="187" fontId="14" fillId="0" borderId="10" xfId="42" applyNumberFormat="1" applyFont="1" applyFill="1" applyBorder="1" applyAlignment="1">
      <alignment horizontal="center" vertical="center"/>
    </xf>
    <xf numFmtId="3" fontId="3" fillId="0" borderId="10" xfId="0" applyNumberFormat="1" applyFont="1" applyFill="1" applyBorder="1" applyAlignment="1">
      <alignment horizontal="right" vertical="center" wrapText="1"/>
    </xf>
    <xf numFmtId="0" fontId="56" fillId="0" borderId="0" xfId="0" applyFont="1" applyFill="1" applyAlignment="1">
      <alignment/>
    </xf>
    <xf numFmtId="0" fontId="57" fillId="0" borderId="0" xfId="0" applyFont="1" applyFill="1" applyAlignment="1">
      <alignment/>
    </xf>
    <xf numFmtId="3" fontId="13" fillId="0" borderId="10" xfId="61" applyNumberFormat="1" applyFont="1" applyFill="1" applyBorder="1" applyAlignment="1" applyProtection="1">
      <alignment horizontal="left" vertical="center" wrapText="1"/>
      <protection/>
    </xf>
    <xf numFmtId="0" fontId="0" fillId="0" borderId="10" xfId="0" applyFont="1" applyFill="1" applyBorder="1" applyAlignment="1">
      <alignment horizontal="center" vertical="center" wrapText="1"/>
    </xf>
    <xf numFmtId="3" fontId="11" fillId="0" borderId="22" xfId="0" applyNumberFormat="1" applyFont="1" applyFill="1" applyBorder="1" applyAlignment="1">
      <alignment vertical="center"/>
    </xf>
    <xf numFmtId="0" fontId="8" fillId="0" borderId="10" xfId="0" applyFont="1" applyBorder="1" applyAlignment="1">
      <alignment vertical="center" wrapText="1"/>
    </xf>
    <xf numFmtId="0" fontId="3" fillId="0" borderId="15" xfId="58" applyNumberFormat="1" applyFont="1" applyFill="1" applyBorder="1" applyAlignment="1">
      <alignment horizontal="center" vertical="center" wrapText="1"/>
      <protection/>
    </xf>
    <xf numFmtId="0" fontId="3" fillId="0" borderId="12" xfId="58" applyNumberFormat="1" applyFont="1" applyFill="1" applyBorder="1" applyAlignment="1">
      <alignment horizontal="center" vertical="center" wrapText="1"/>
      <protection/>
    </xf>
    <xf numFmtId="0" fontId="88" fillId="0" borderId="0" xfId="0" applyFont="1" applyFill="1" applyAlignment="1">
      <alignment horizontal="center" vertical="center"/>
    </xf>
    <xf numFmtId="0" fontId="88" fillId="0" borderId="0" xfId="0" applyFont="1" applyFill="1" applyAlignment="1">
      <alignment/>
    </xf>
    <xf numFmtId="0" fontId="88" fillId="0" borderId="0" xfId="0" applyFont="1" applyFill="1" applyAlignment="1">
      <alignment horizontal="center"/>
    </xf>
    <xf numFmtId="3" fontId="3" fillId="0" borderId="10" xfId="0" applyNumberFormat="1" applyFont="1" applyFill="1" applyBorder="1" applyAlignment="1">
      <alignment vertical="center" wrapText="1"/>
    </xf>
    <xf numFmtId="3" fontId="0" fillId="0" borderId="0" xfId="0" applyNumberFormat="1" applyFill="1" applyAlignment="1">
      <alignment/>
    </xf>
    <xf numFmtId="3" fontId="0" fillId="0" borderId="0" xfId="0" applyNumberFormat="1" applyFont="1" applyFill="1" applyAlignment="1">
      <alignment/>
    </xf>
    <xf numFmtId="3" fontId="0" fillId="37" borderId="0" xfId="0" applyNumberFormat="1" applyFill="1" applyAlignment="1">
      <alignment/>
    </xf>
    <xf numFmtId="3" fontId="0" fillId="0" borderId="10" xfId="0" applyNumberFormat="1" applyFont="1" applyFill="1" applyBorder="1" applyAlignment="1">
      <alignment vertical="center" wrapText="1"/>
    </xf>
    <xf numFmtId="9" fontId="3" fillId="0" borderId="12" xfId="58" applyNumberFormat="1" applyFont="1" applyFill="1" applyBorder="1" applyAlignment="1">
      <alignment horizontal="center" vertical="center" wrapText="1"/>
      <protection/>
    </xf>
    <xf numFmtId="3" fontId="12" fillId="0" borderId="10" xfId="0" applyNumberFormat="1" applyFont="1" applyFill="1" applyBorder="1" applyAlignment="1">
      <alignment horizontal="right" vertical="center" wrapText="1"/>
    </xf>
    <xf numFmtId="0" fontId="89"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89" fillId="0" borderId="10" xfId="0" applyFont="1" applyFill="1" applyBorder="1" applyAlignment="1">
      <alignment vertical="center" wrapText="1"/>
    </xf>
    <xf numFmtId="0" fontId="1" fillId="0" borderId="0" xfId="0" applyFont="1" applyFill="1" applyAlignment="1">
      <alignment horizontal="center"/>
    </xf>
    <xf numFmtId="0" fontId="3" fillId="0" borderId="15" xfId="0" applyFont="1" applyFill="1" applyBorder="1" applyAlignment="1">
      <alignment horizontal="center" vertical="center"/>
    </xf>
    <xf numFmtId="0" fontId="3" fillId="0" borderId="15" xfId="0" applyFont="1" applyFill="1" applyBorder="1" applyAlignment="1">
      <alignment horizontal="center" vertical="center" wrapText="1"/>
    </xf>
    <xf numFmtId="3" fontId="77" fillId="0" borderId="10" xfId="0" applyNumberFormat="1" applyFont="1" applyFill="1" applyBorder="1" applyAlignment="1">
      <alignment horizontal="center" vertical="center" wrapText="1"/>
    </xf>
    <xf numFmtId="3" fontId="0" fillId="0" borderId="10" xfId="0" applyNumberFormat="1" applyFont="1" applyFill="1" applyBorder="1" applyAlignment="1">
      <alignment horizontal="left" vertical="center" wrapText="1"/>
    </xf>
    <xf numFmtId="3" fontId="9" fillId="0" borderId="12" xfId="0" applyNumberFormat="1" applyFont="1" applyFill="1" applyBorder="1" applyAlignment="1">
      <alignment horizontal="center" vertical="center"/>
    </xf>
    <xf numFmtId="187" fontId="0" fillId="0" borderId="10" xfId="42" applyNumberFormat="1" applyFont="1" applyFill="1" applyBorder="1" applyAlignment="1">
      <alignment horizontal="center" vertical="center" wrapText="1"/>
    </xf>
    <xf numFmtId="187" fontId="14" fillId="0" borderId="10" xfId="42"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3" fontId="10" fillId="34" borderId="0" xfId="0" applyNumberFormat="1" applyFont="1" applyFill="1" applyBorder="1" applyAlignment="1">
      <alignment horizontal="center" vertical="center" wrapText="1"/>
    </xf>
    <xf numFmtId="3" fontId="9" fillId="0" borderId="0" xfId="0" applyNumberFormat="1" applyFont="1" applyFill="1" applyBorder="1" applyAlignment="1">
      <alignment horizontal="center" vertical="center" wrapText="1"/>
    </xf>
    <xf numFmtId="3" fontId="0" fillId="0" borderId="0" xfId="0" applyNumberFormat="1" applyFill="1" applyBorder="1" applyAlignment="1">
      <alignment horizontal="left" indent="2"/>
    </xf>
    <xf numFmtId="2" fontId="0" fillId="0" borderId="0" xfId="0" applyNumberFormat="1" applyFill="1" applyBorder="1" applyAlignment="1">
      <alignment horizontal="center"/>
    </xf>
    <xf numFmtId="0" fontId="3" fillId="0" borderId="23" xfId="0" applyFont="1" applyFill="1" applyBorder="1" applyAlignment="1">
      <alignment horizontal="center" vertical="center" wrapText="1"/>
    </xf>
    <xf numFmtId="0" fontId="0" fillId="0" borderId="10" xfId="0" applyFont="1" applyBorder="1" applyAlignment="1">
      <alignment vertical="center" wrapText="1"/>
    </xf>
    <xf numFmtId="0" fontId="13" fillId="41" borderId="10" xfId="60" applyFont="1" applyFill="1" applyBorder="1" applyAlignment="1">
      <alignment vertical="center" wrapText="1"/>
      <protection/>
    </xf>
    <xf numFmtId="0" fontId="88" fillId="0" borderId="10" xfId="0" applyFont="1" applyBorder="1" applyAlignment="1">
      <alignment vertical="center" wrapText="1"/>
    </xf>
    <xf numFmtId="3" fontId="1" fillId="0" borderId="10" xfId="0" applyNumberFormat="1" applyFont="1" applyFill="1" applyBorder="1" applyAlignment="1">
      <alignment horizontal="center" vertical="center" wrapText="1"/>
    </xf>
    <xf numFmtId="3" fontId="12" fillId="0" borderId="22" xfId="0" applyNumberFormat="1" applyFont="1" applyFill="1" applyBorder="1" applyAlignment="1">
      <alignment horizontal="right" vertical="center"/>
    </xf>
    <xf numFmtId="0" fontId="3" fillId="0" borderId="14" xfId="0" applyFont="1" applyFill="1" applyBorder="1" applyAlignment="1">
      <alignment horizontal="center" vertical="center" wrapText="1"/>
    </xf>
    <xf numFmtId="3" fontId="0" fillId="0" borderId="0" xfId="0" applyNumberFormat="1" applyFont="1" applyFill="1" applyAlignment="1">
      <alignment/>
    </xf>
    <xf numFmtId="0" fontId="0" fillId="0" borderId="0" xfId="0" applyFont="1" applyFill="1" applyAlignment="1">
      <alignment/>
    </xf>
    <xf numFmtId="3" fontId="12" fillId="0" borderId="0" xfId="0" applyNumberFormat="1" applyFont="1" applyFill="1" applyAlignment="1">
      <alignment/>
    </xf>
    <xf numFmtId="0" fontId="90" fillId="0" borderId="10" xfId="0" applyFont="1" applyFill="1" applyBorder="1" applyAlignment="1">
      <alignment horizontal="center" vertical="center" wrapText="1"/>
    </xf>
    <xf numFmtId="0" fontId="90" fillId="0" borderId="10" xfId="0" applyFont="1" applyFill="1" applyBorder="1" applyAlignment="1">
      <alignment vertical="center" wrapText="1"/>
    </xf>
    <xf numFmtId="3" fontId="90" fillId="0" borderId="10" xfId="0" applyNumberFormat="1" applyFont="1" applyFill="1" applyBorder="1" applyAlignment="1">
      <alignment horizontal="right" vertical="center" wrapText="1"/>
    </xf>
    <xf numFmtId="3" fontId="91" fillId="0" borderId="10" xfId="0" applyNumberFormat="1" applyFont="1" applyFill="1" applyBorder="1" applyAlignment="1">
      <alignment horizontal="right" vertical="center" wrapText="1"/>
    </xf>
    <xf numFmtId="187" fontId="3" fillId="0" borderId="10" xfId="0" applyNumberFormat="1" applyFont="1" applyFill="1" applyBorder="1" applyAlignment="1">
      <alignment vertical="center" wrapText="1"/>
    </xf>
    <xf numFmtId="187" fontId="0" fillId="0" borderId="10" xfId="0" applyNumberFormat="1" applyFont="1" applyFill="1" applyBorder="1" applyAlignment="1">
      <alignment vertical="center" wrapText="1"/>
    </xf>
    <xf numFmtId="0" fontId="12" fillId="0" borderId="0" xfId="0" applyFont="1" applyAlignment="1">
      <alignment vertical="center"/>
    </xf>
    <xf numFmtId="3" fontId="1" fillId="0" borderId="10" xfId="0" applyNumberFormat="1" applyFont="1" applyFill="1" applyBorder="1" applyAlignment="1">
      <alignment horizontal="center" vertical="center"/>
    </xf>
    <xf numFmtId="3" fontId="1" fillId="0" borderId="10" xfId="0" applyNumberFormat="1" applyFont="1" applyFill="1" applyBorder="1" applyAlignment="1">
      <alignment horizontal="right" vertical="center" wrapText="1"/>
    </xf>
    <xf numFmtId="0" fontId="12" fillId="0" borderId="10" xfId="0" applyFont="1" applyFill="1" applyBorder="1" applyAlignment="1">
      <alignment horizontal="center"/>
    </xf>
    <xf numFmtId="0" fontId="0" fillId="0" borderId="10" xfId="0" applyFont="1" applyFill="1" applyBorder="1" applyAlignment="1">
      <alignment vertical="center" wrapText="1"/>
    </xf>
    <xf numFmtId="0" fontId="0" fillId="0" borderId="10" xfId="0" applyFont="1" applyFill="1" applyBorder="1" applyAlignment="1">
      <alignment horizontal="center" vertical="center"/>
    </xf>
    <xf numFmtId="0" fontId="88" fillId="0" borderId="10" xfId="0" applyFont="1" applyFill="1" applyBorder="1" applyAlignment="1">
      <alignment vertical="center" wrapText="1"/>
    </xf>
    <xf numFmtId="0" fontId="0" fillId="0" borderId="10" xfId="0" applyFont="1" applyFill="1" applyBorder="1" applyAlignment="1">
      <alignment horizontal="center" vertical="center" wrapText="1"/>
    </xf>
    <xf numFmtId="0" fontId="13" fillId="0" borderId="10" xfId="60" applyFont="1" applyFill="1" applyBorder="1" applyAlignment="1">
      <alignment vertical="center" wrapText="1"/>
      <protection/>
    </xf>
    <xf numFmtId="0" fontId="0" fillId="0" borderId="10" xfId="0" applyFont="1" applyFill="1" applyBorder="1" applyAlignment="1">
      <alignment vertical="center"/>
    </xf>
    <xf numFmtId="3" fontId="0" fillId="0" borderId="10" xfId="0" applyNumberFormat="1" applyFont="1" applyFill="1" applyBorder="1" applyAlignment="1">
      <alignment horizontal="center" vertical="center"/>
    </xf>
    <xf numFmtId="0" fontId="0" fillId="0" borderId="0" xfId="0" applyFont="1" applyFill="1" applyAlignment="1">
      <alignment wrapText="1"/>
    </xf>
    <xf numFmtId="0" fontId="3" fillId="0" borderId="10" xfId="0" applyFont="1" applyFill="1" applyBorder="1" applyAlignment="1">
      <alignment horizontal="right" vertical="center"/>
    </xf>
    <xf numFmtId="0" fontId="76" fillId="0" borderId="10" xfId="0" applyFont="1" applyFill="1" applyBorder="1" applyAlignment="1">
      <alignment horizontal="right" vertical="center" wrapText="1"/>
    </xf>
    <xf numFmtId="187" fontId="61" fillId="0" borderId="10" xfId="0" applyNumberFormat="1" applyFont="1" applyFill="1" applyBorder="1" applyAlignment="1">
      <alignment horizontal="right" vertical="center" wrapText="1"/>
    </xf>
    <xf numFmtId="187" fontId="3" fillId="0" borderId="10" xfId="0" applyNumberFormat="1" applyFont="1" applyFill="1" applyBorder="1" applyAlignment="1">
      <alignment horizontal="right" vertical="center"/>
    </xf>
    <xf numFmtId="187" fontId="76" fillId="0" borderId="10" xfId="0" applyNumberFormat="1" applyFont="1" applyFill="1" applyBorder="1" applyAlignment="1">
      <alignment horizontal="right" vertical="center" wrapText="1"/>
    </xf>
    <xf numFmtId="0" fontId="61" fillId="0" borderId="10" xfId="0" applyFont="1" applyFill="1" applyBorder="1" applyAlignment="1">
      <alignment horizontal="right" vertical="center" wrapText="1"/>
    </xf>
    <xf numFmtId="0" fontId="0" fillId="0" borderId="0" xfId="0" applyFill="1" applyAlignment="1">
      <alignment horizontal="right"/>
    </xf>
    <xf numFmtId="0" fontId="3" fillId="0" borderId="10" xfId="0" applyFont="1" applyFill="1" applyBorder="1" applyAlignment="1">
      <alignment horizontal="right" vertical="center" wrapText="1"/>
    </xf>
    <xf numFmtId="0" fontId="0" fillId="0" borderId="10" xfId="0" applyFont="1" applyFill="1" applyBorder="1" applyAlignment="1">
      <alignment horizontal="right" vertical="center" wrapText="1"/>
    </xf>
    <xf numFmtId="0" fontId="0" fillId="0" borderId="10" xfId="0" applyFont="1" applyBorder="1" applyAlignment="1">
      <alignment horizontal="right" vertical="center"/>
    </xf>
    <xf numFmtId="187" fontId="0" fillId="0" borderId="10" xfId="0" applyNumberFormat="1" applyFont="1" applyFill="1" applyBorder="1" applyAlignment="1">
      <alignment horizontal="right" vertical="center" wrapText="1"/>
    </xf>
    <xf numFmtId="187" fontId="76" fillId="0" borderId="10" xfId="42" applyNumberFormat="1" applyFont="1" applyFill="1" applyBorder="1" applyAlignment="1">
      <alignment horizontal="center" vertical="center" wrapText="1"/>
    </xf>
    <xf numFmtId="187" fontId="76" fillId="0" borderId="10" xfId="42" applyNumberFormat="1" applyFont="1" applyFill="1" applyBorder="1" applyAlignment="1">
      <alignment horizontal="right" vertical="center" wrapText="1"/>
    </xf>
    <xf numFmtId="187" fontId="61" fillId="0" borderId="10" xfId="42" applyNumberFormat="1" applyFont="1" applyFill="1" applyBorder="1" applyAlignment="1">
      <alignment horizontal="center" vertical="center" wrapText="1"/>
    </xf>
    <xf numFmtId="187" fontId="61" fillId="0" borderId="10" xfId="42" applyNumberFormat="1" applyFont="1" applyFill="1" applyBorder="1" applyAlignment="1">
      <alignment horizontal="right" vertical="center" wrapText="1"/>
    </xf>
    <xf numFmtId="187" fontId="0" fillId="0" borderId="10" xfId="42" applyNumberFormat="1" applyFont="1" applyFill="1" applyBorder="1" applyAlignment="1">
      <alignment/>
    </xf>
    <xf numFmtId="187" fontId="0" fillId="0" borderId="10" xfId="42" applyNumberFormat="1" applyFont="1" applyFill="1" applyBorder="1" applyAlignment="1">
      <alignment horizontal="right" vertical="center" wrapText="1"/>
    </xf>
    <xf numFmtId="187" fontId="0" fillId="0" borderId="10" xfId="42" applyNumberFormat="1" applyFont="1" applyFill="1" applyBorder="1" applyAlignment="1">
      <alignment/>
    </xf>
    <xf numFmtId="187" fontId="3" fillId="0" borderId="10" xfId="42" applyNumberFormat="1" applyFont="1" applyFill="1" applyBorder="1" applyAlignment="1">
      <alignment horizontal="right" vertical="center" wrapText="1"/>
    </xf>
    <xf numFmtId="187" fontId="0" fillId="0" borderId="0" xfId="42" applyNumberFormat="1" applyFont="1" applyFill="1" applyAlignment="1">
      <alignment/>
    </xf>
    <xf numFmtId="187" fontId="0" fillId="0" borderId="0" xfId="42" applyNumberFormat="1" applyFont="1" applyFill="1" applyAlignment="1">
      <alignment horizontal="right"/>
    </xf>
    <xf numFmtId="187" fontId="3" fillId="0" borderId="10" xfId="42" applyNumberFormat="1" applyFont="1" applyFill="1" applyBorder="1" applyAlignment="1">
      <alignment horizontal="center" vertical="center"/>
    </xf>
    <xf numFmtId="187" fontId="3" fillId="0" borderId="10" xfId="42" applyNumberFormat="1" applyFont="1" applyFill="1" applyBorder="1" applyAlignment="1">
      <alignment horizontal="right" vertical="center"/>
    </xf>
    <xf numFmtId="187" fontId="0" fillId="0" borderId="0" xfId="42" applyNumberFormat="1" applyFont="1" applyFill="1" applyAlignment="1">
      <alignment/>
    </xf>
    <xf numFmtId="3" fontId="61" fillId="0" borderId="10" xfId="0" applyNumberFormat="1" applyFont="1" applyFill="1" applyBorder="1" applyAlignment="1">
      <alignment horizontal="center" vertical="center" wrapText="1"/>
    </xf>
    <xf numFmtId="187" fontId="0" fillId="0" borderId="10" xfId="42" applyNumberFormat="1" applyFont="1" applyFill="1" applyBorder="1" applyAlignment="1">
      <alignment/>
    </xf>
    <xf numFmtId="0" fontId="0" fillId="0" borderId="12" xfId="0" applyNumberFormat="1" applyFont="1" applyFill="1" applyBorder="1" applyAlignment="1">
      <alignment horizontal="center" vertical="center" wrapText="1"/>
    </xf>
    <xf numFmtId="0" fontId="0" fillId="0" borderId="10" xfId="0" applyNumberFormat="1" applyFont="1" applyFill="1" applyBorder="1" applyAlignment="1">
      <alignment horizontal="right" vertical="center" wrapText="1"/>
    </xf>
    <xf numFmtId="0" fontId="3"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justify" vertical="center" wrapText="1"/>
    </xf>
    <xf numFmtId="0" fontId="0" fillId="0" borderId="11" xfId="0" applyFont="1" applyFill="1" applyBorder="1" applyAlignment="1">
      <alignment vertical="center"/>
    </xf>
    <xf numFmtId="187" fontId="0" fillId="0" borderId="0" xfId="0" applyNumberFormat="1" applyFont="1" applyFill="1" applyAlignment="1">
      <alignment/>
    </xf>
    <xf numFmtId="3" fontId="0" fillId="0" borderId="10" xfId="0" applyNumberFormat="1" applyFont="1" applyFill="1" applyBorder="1" applyAlignment="1">
      <alignment horizontal="right" vertical="center"/>
    </xf>
    <xf numFmtId="0" fontId="3" fillId="0" borderId="0" xfId="0" applyFont="1" applyFill="1" applyAlignment="1">
      <alignment vertical="center"/>
    </xf>
    <xf numFmtId="0" fontId="3" fillId="0" borderId="0" xfId="0" applyFont="1" applyFill="1" applyAlignment="1">
      <alignment horizontal="center" vertical="center"/>
    </xf>
    <xf numFmtId="0" fontId="12" fillId="0" borderId="0" xfId="0" applyNumberFormat="1" applyFont="1" applyFill="1" applyAlignment="1">
      <alignment vertical="center" wrapText="1"/>
    </xf>
    <xf numFmtId="0" fontId="1" fillId="0" borderId="10"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10" xfId="0" applyFont="1" applyFill="1" applyBorder="1" applyAlignment="1">
      <alignment horizontal="justify" vertical="center"/>
    </xf>
    <xf numFmtId="0" fontId="12"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justify" vertical="center" wrapText="1"/>
    </xf>
    <xf numFmtId="3" fontId="1" fillId="0" borderId="10" xfId="0" applyNumberFormat="1" applyFont="1" applyFill="1" applyBorder="1" applyAlignment="1">
      <alignment vertical="center" wrapText="1"/>
    </xf>
    <xf numFmtId="0" fontId="1" fillId="0" borderId="10" xfId="0" applyNumberFormat="1" applyFont="1" applyFill="1" applyBorder="1" applyAlignment="1">
      <alignment vertical="center" wrapText="1"/>
    </xf>
    <xf numFmtId="0" fontId="12" fillId="0" borderId="10" xfId="0" applyFont="1" applyFill="1" applyBorder="1" applyAlignment="1">
      <alignment horizontal="center" vertical="center"/>
    </xf>
    <xf numFmtId="0" fontId="12" fillId="0" borderId="10" xfId="0" applyNumberFormat="1" applyFont="1" applyFill="1" applyBorder="1" applyAlignment="1">
      <alignment horizontal="justify" vertical="center" wrapText="1"/>
    </xf>
    <xf numFmtId="3" fontId="12" fillId="0" borderId="10" xfId="0" applyNumberFormat="1" applyFont="1" applyFill="1" applyBorder="1" applyAlignment="1">
      <alignment vertical="center" wrapText="1"/>
    </xf>
    <xf numFmtId="0" fontId="12" fillId="0" borderId="10" xfId="0" applyNumberFormat="1" applyFont="1" applyFill="1" applyBorder="1" applyAlignment="1">
      <alignment vertical="center" wrapText="1"/>
    </xf>
    <xf numFmtId="3" fontId="12" fillId="0" borderId="10" xfId="61" applyNumberFormat="1" applyFont="1" applyFill="1" applyBorder="1" applyAlignment="1" applyProtection="1">
      <alignment horizontal="left" vertical="center" wrapText="1"/>
      <protection/>
    </xf>
    <xf numFmtId="3" fontId="12" fillId="0" borderId="10" xfId="61" applyNumberFormat="1" applyFont="1" applyFill="1" applyBorder="1" applyAlignment="1" applyProtection="1">
      <alignment horizontal="center" vertical="center" wrapText="1"/>
      <protection/>
    </xf>
    <xf numFmtId="0" fontId="12" fillId="0" borderId="10" xfId="0" applyFont="1" applyFill="1" applyBorder="1" applyAlignment="1">
      <alignment horizontal="justify" vertical="center"/>
    </xf>
    <xf numFmtId="3" fontId="12" fillId="0" borderId="10" xfId="0" applyNumberFormat="1" applyFont="1" applyFill="1" applyBorder="1" applyAlignment="1">
      <alignment horizontal="left" vertical="center" wrapText="1"/>
    </xf>
    <xf numFmtId="0" fontId="12" fillId="0" borderId="10" xfId="0" applyFont="1" applyFill="1" applyBorder="1" applyAlignment="1">
      <alignment vertical="center"/>
    </xf>
    <xf numFmtId="196" fontId="12" fillId="0" borderId="10" xfId="0" applyNumberFormat="1" applyFont="1" applyFill="1" applyBorder="1" applyAlignment="1">
      <alignment vertical="center" wrapText="1"/>
    </xf>
    <xf numFmtId="187" fontId="12" fillId="0" borderId="10" xfId="42" applyNumberFormat="1" applyFont="1" applyFill="1" applyBorder="1" applyAlignment="1">
      <alignment vertical="center"/>
    </xf>
    <xf numFmtId="0" fontId="12" fillId="0" borderId="10" xfId="0" applyFont="1" applyFill="1" applyBorder="1" applyAlignment="1">
      <alignment horizontal="left" vertical="center" wrapText="1"/>
    </xf>
    <xf numFmtId="3" fontId="3" fillId="0" borderId="0" xfId="0" applyNumberFormat="1" applyFont="1" applyFill="1" applyAlignment="1">
      <alignment vertical="center"/>
    </xf>
    <xf numFmtId="0" fontId="12" fillId="0" borderId="10" xfId="0" applyFont="1" applyFill="1" applyBorder="1" applyAlignment="1">
      <alignment horizontal="justify" vertical="center" wrapText="1"/>
    </xf>
    <xf numFmtId="0" fontId="12" fillId="0" borderId="10" xfId="0" applyNumberFormat="1" applyFont="1" applyFill="1" applyBorder="1" applyAlignment="1">
      <alignment horizontal="left" vertical="center" wrapText="1"/>
    </xf>
    <xf numFmtId="187" fontId="1" fillId="0" borderId="10" xfId="42" applyNumberFormat="1" applyFont="1" applyFill="1" applyBorder="1" applyAlignment="1">
      <alignment vertical="center"/>
    </xf>
    <xf numFmtId="0" fontId="0" fillId="0" borderId="0" xfId="0" applyFont="1" applyFill="1" applyAlignment="1">
      <alignment horizontal="left" vertical="center"/>
    </xf>
    <xf numFmtId="3" fontId="9" fillId="0" borderId="10" xfId="0" applyNumberFormat="1" applyFont="1" applyFill="1" applyBorder="1" applyAlignment="1">
      <alignment horizontal="right" vertical="center" wrapText="1"/>
    </xf>
    <xf numFmtId="3" fontId="10" fillId="0" borderId="10" xfId="0" applyNumberFormat="1" applyFont="1" applyFill="1" applyBorder="1" applyAlignment="1">
      <alignment horizontal="right" vertical="center" wrapText="1"/>
    </xf>
    <xf numFmtId="0" fontId="0"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right" vertical="center" wrapText="1"/>
    </xf>
    <xf numFmtId="0" fontId="3" fillId="0" borderId="10" xfId="0" applyFont="1" applyFill="1" applyBorder="1" applyAlignment="1" quotePrefix="1">
      <alignment horizontal="center" vertical="center" wrapText="1"/>
    </xf>
    <xf numFmtId="0" fontId="1" fillId="0" borderId="10" xfId="0" applyFont="1" applyFill="1" applyBorder="1" applyAlignment="1" quotePrefix="1">
      <alignment horizontal="left" vertical="center" wrapText="1"/>
    </xf>
    <xf numFmtId="0" fontId="0" fillId="0" borderId="10" xfId="0" applyFont="1" applyFill="1" applyBorder="1" applyAlignment="1" quotePrefix="1">
      <alignment horizontal="center" vertical="center" wrapText="1"/>
    </xf>
    <xf numFmtId="0" fontId="12" fillId="0" borderId="10" xfId="0" applyFont="1" applyFill="1" applyBorder="1" applyAlignment="1" quotePrefix="1">
      <alignment horizontal="left" vertical="center" wrapText="1"/>
    </xf>
    <xf numFmtId="3" fontId="0" fillId="0" borderId="0" xfId="0" applyNumberFormat="1" applyFont="1" applyFill="1" applyAlignment="1">
      <alignment horizontal="center" vertical="center" wrapText="1"/>
    </xf>
    <xf numFmtId="0" fontId="12" fillId="0" borderId="10" xfId="61" applyFont="1" applyFill="1" applyBorder="1" applyAlignment="1" applyProtection="1">
      <alignment horizontal="left" vertical="center" wrapText="1"/>
      <protection/>
    </xf>
    <xf numFmtId="0" fontId="12" fillId="0" borderId="10" xfId="61" applyFont="1" applyFill="1" applyBorder="1" applyAlignment="1" applyProtection="1">
      <alignment horizontal="center" vertical="center" wrapText="1"/>
      <protection/>
    </xf>
    <xf numFmtId="0" fontId="11" fillId="0" borderId="0" xfId="0" applyNumberFormat="1" applyFont="1" applyFill="1" applyAlignment="1">
      <alignment horizontal="center" vertical="center" wrapText="1"/>
    </xf>
    <xf numFmtId="0" fontId="3" fillId="0" borderId="18" xfId="0" applyNumberFormat="1" applyFont="1" applyFill="1" applyBorder="1" applyAlignment="1">
      <alignment vertical="center" wrapText="1"/>
    </xf>
    <xf numFmtId="0" fontId="3" fillId="0" borderId="14" xfId="0" applyNumberFormat="1" applyFont="1" applyFill="1" applyBorder="1" applyAlignment="1">
      <alignment vertical="center" wrapText="1"/>
    </xf>
    <xf numFmtId="1" fontId="0" fillId="0" borderId="10" xfId="0" applyNumberFormat="1" applyFont="1" applyFill="1" applyBorder="1" applyAlignment="1">
      <alignment horizontal="right" vertical="center" wrapText="1"/>
    </xf>
    <xf numFmtId="0" fontId="1" fillId="0" borderId="0" xfId="0" applyFont="1" applyFill="1" applyAlignment="1">
      <alignment horizontal="center"/>
    </xf>
    <xf numFmtId="0" fontId="20" fillId="0" borderId="0" xfId="0" applyFont="1" applyFill="1" applyBorder="1" applyAlignment="1">
      <alignment horizontal="center"/>
    </xf>
    <xf numFmtId="0" fontId="1" fillId="0" borderId="0" xfId="0" applyFont="1" applyFill="1" applyBorder="1" applyAlignment="1">
      <alignment horizontal="center"/>
    </xf>
    <xf numFmtId="0" fontId="15" fillId="0" borderId="22" xfId="0" applyFont="1" applyFill="1" applyBorder="1" applyAlignment="1">
      <alignment horizontal="center"/>
    </xf>
    <xf numFmtId="3" fontId="18" fillId="0" borderId="11" xfId="42" applyNumberFormat="1" applyFont="1" applyFill="1" applyBorder="1" applyAlignment="1">
      <alignment horizontal="center" vertical="center"/>
    </xf>
    <xf numFmtId="3" fontId="18" fillId="0" borderId="18" xfId="42" applyNumberFormat="1" applyFont="1" applyFill="1" applyBorder="1" applyAlignment="1">
      <alignment horizontal="center" vertical="center"/>
    </xf>
    <xf numFmtId="3" fontId="18" fillId="0" borderId="14" xfId="42" applyNumberFormat="1" applyFont="1" applyFill="1" applyBorder="1" applyAlignment="1">
      <alignment horizontal="center" vertical="center"/>
    </xf>
    <xf numFmtId="0" fontId="18" fillId="0" borderId="10" xfId="0" applyFont="1" applyFill="1" applyBorder="1" applyAlignment="1">
      <alignment horizontal="center" vertical="center"/>
    </xf>
    <xf numFmtId="0" fontId="1" fillId="0" borderId="0" xfId="0" applyFont="1" applyAlignment="1">
      <alignment horizontal="center"/>
    </xf>
    <xf numFmtId="0" fontId="16" fillId="0" borderId="10" xfId="0" applyFont="1" applyBorder="1" applyAlignment="1">
      <alignment horizontal="center" vertical="center"/>
    </xf>
    <xf numFmtId="0" fontId="3" fillId="36" borderId="15" xfId="0" applyFont="1" applyFill="1" applyBorder="1" applyAlignment="1">
      <alignment horizontal="center" vertical="center" wrapText="1"/>
    </xf>
    <xf numFmtId="0" fontId="3" fillId="36" borderId="17" xfId="0" applyFont="1" applyFill="1" applyBorder="1" applyAlignment="1">
      <alignment horizontal="center" vertical="center" wrapText="1"/>
    </xf>
    <xf numFmtId="0" fontId="3" fillId="36" borderId="12"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16" fillId="0" borderId="12" xfId="0" applyFont="1" applyBorder="1" applyAlignment="1">
      <alignment horizontal="center" vertical="center"/>
    </xf>
    <xf numFmtId="0" fontId="11" fillId="0" borderId="0" xfId="0" applyFont="1" applyAlignment="1">
      <alignment horizontal="center"/>
    </xf>
    <xf numFmtId="0" fontId="16" fillId="34" borderId="15" xfId="0" applyFont="1" applyFill="1" applyBorder="1" applyAlignment="1">
      <alignment horizontal="center" vertical="center"/>
    </xf>
    <xf numFmtId="0" fontId="16" fillId="34" borderId="12" xfId="0" applyFont="1" applyFill="1" applyBorder="1" applyAlignment="1">
      <alignment horizontal="center" vertical="center"/>
    </xf>
    <xf numFmtId="0" fontId="3" fillId="0" borderId="11" xfId="0" applyFont="1" applyBorder="1" applyAlignment="1">
      <alignment horizontal="center" vertical="top" wrapText="1"/>
    </xf>
    <xf numFmtId="0" fontId="3" fillId="0" borderId="18" xfId="0" applyFont="1" applyBorder="1" applyAlignment="1">
      <alignment horizontal="center" vertical="top" wrapText="1"/>
    </xf>
    <xf numFmtId="0" fontId="3" fillId="0" borderId="14" xfId="0" applyFont="1" applyBorder="1" applyAlignment="1">
      <alignment horizontal="center" vertical="top" wrapText="1"/>
    </xf>
    <xf numFmtId="0" fontId="3" fillId="0" borderId="11" xfId="0" applyFont="1" applyBorder="1" applyAlignment="1">
      <alignment horizontal="center" wrapText="1"/>
    </xf>
    <xf numFmtId="0" fontId="3" fillId="0" borderId="18" xfId="0" applyFont="1" applyBorder="1" applyAlignment="1">
      <alignment horizontal="center" wrapText="1"/>
    </xf>
    <xf numFmtId="0" fontId="3" fillId="0" borderId="14" xfId="0" applyFont="1" applyBorder="1" applyAlignment="1">
      <alignment horizontal="center" wrapText="1"/>
    </xf>
    <xf numFmtId="4" fontId="0" fillId="0" borderId="0" xfId="0" applyNumberFormat="1" applyAlignment="1">
      <alignment horizontal="center" vertical="center"/>
    </xf>
    <xf numFmtId="0" fontId="3" fillId="0" borderId="10" xfId="0" applyFont="1" applyBorder="1" applyAlignment="1">
      <alignment horizontal="center" wrapText="1"/>
    </xf>
    <xf numFmtId="0" fontId="3" fillId="0" borderId="0" xfId="0" applyFont="1" applyAlignment="1">
      <alignment horizontal="center"/>
    </xf>
    <xf numFmtId="4" fontId="0" fillId="0" borderId="0" xfId="0" applyNumberFormat="1" applyFont="1" applyAlignment="1">
      <alignment horizontal="center" vertical="center"/>
    </xf>
    <xf numFmtId="0" fontId="16" fillId="34" borderId="17" xfId="0" applyFont="1" applyFill="1" applyBorder="1" applyAlignment="1">
      <alignment horizontal="center" vertical="center"/>
    </xf>
    <xf numFmtId="0" fontId="3" fillId="0" borderId="10" xfId="0" applyFont="1" applyBorder="1" applyAlignment="1">
      <alignment horizontal="center" vertical="top" wrapText="1"/>
    </xf>
    <xf numFmtId="0" fontId="3" fillId="0" borderId="18" xfId="0" applyFont="1" applyBorder="1" applyAlignment="1">
      <alignment horizontal="center" vertical="top"/>
    </xf>
    <xf numFmtId="0" fontId="3" fillId="0" borderId="14" xfId="0" applyFont="1" applyBorder="1" applyAlignment="1">
      <alignment horizontal="center" vertical="top"/>
    </xf>
    <xf numFmtId="0" fontId="3" fillId="0" borderId="10" xfId="58" applyNumberFormat="1" applyFont="1" applyFill="1" applyBorder="1" applyAlignment="1">
      <alignment horizontal="center" vertical="center" wrapText="1"/>
      <protection/>
    </xf>
    <xf numFmtId="0" fontId="3" fillId="0" borderId="15" xfId="0" applyFont="1" applyBorder="1" applyAlignment="1">
      <alignment horizontal="center" wrapText="1"/>
    </xf>
    <xf numFmtId="0" fontId="3" fillId="0" borderId="12" xfId="0" applyFont="1" applyBorder="1" applyAlignment="1">
      <alignment horizontal="center"/>
    </xf>
    <xf numFmtId="0" fontId="3" fillId="0" borderId="11" xfId="58" applyNumberFormat="1" applyFont="1" applyFill="1" applyBorder="1" applyAlignment="1">
      <alignment horizontal="center" vertical="center" wrapText="1"/>
      <protection/>
    </xf>
    <xf numFmtId="0" fontId="3" fillId="0" borderId="18" xfId="58" applyNumberFormat="1" applyFont="1" applyFill="1" applyBorder="1" applyAlignment="1">
      <alignment horizontal="center" vertical="center" wrapText="1"/>
      <protection/>
    </xf>
    <xf numFmtId="0" fontId="3" fillId="0" borderId="14" xfId="58" applyNumberFormat="1" applyFont="1" applyFill="1" applyBorder="1" applyAlignment="1">
      <alignment horizontal="center" vertical="center" wrapText="1"/>
      <protection/>
    </xf>
    <xf numFmtId="0" fontId="3" fillId="0" borderId="0" xfId="58" applyNumberFormat="1" applyFont="1" applyFill="1" applyBorder="1" applyAlignment="1">
      <alignment horizontal="center" vertical="center" wrapText="1"/>
      <protection/>
    </xf>
    <xf numFmtId="0" fontId="3" fillId="0" borderId="15" xfId="58" applyNumberFormat="1" applyFont="1" applyFill="1" applyBorder="1" applyAlignment="1">
      <alignment horizontal="center" vertical="center" wrapText="1"/>
      <protection/>
    </xf>
    <xf numFmtId="0" fontId="3" fillId="0" borderId="17" xfId="58" applyNumberFormat="1" applyFont="1" applyFill="1" applyBorder="1" applyAlignment="1">
      <alignment horizontal="center" vertical="center" wrapText="1"/>
      <protection/>
    </xf>
    <xf numFmtId="0" fontId="3" fillId="0" borderId="12" xfId="58" applyNumberFormat="1" applyFont="1" applyFill="1" applyBorder="1" applyAlignment="1">
      <alignment horizontal="center" vertical="center" wrapText="1"/>
      <protection/>
    </xf>
    <xf numFmtId="0" fontId="8" fillId="0" borderId="10" xfId="0" applyNumberFormat="1" applyFont="1" applyFill="1" applyBorder="1" applyAlignment="1">
      <alignment horizontal="center" vertical="center"/>
    </xf>
    <xf numFmtId="0" fontId="11" fillId="0" borderId="0" xfId="0" applyFont="1" applyFill="1" applyAlignment="1">
      <alignment horizontal="center"/>
    </xf>
    <xf numFmtId="0" fontId="0" fillId="0" borderId="10" xfId="0" applyFont="1" applyFill="1" applyBorder="1" applyAlignment="1">
      <alignment horizontal="left"/>
    </xf>
    <xf numFmtId="0" fontId="0" fillId="0" borderId="11" xfId="0" applyFont="1" applyFill="1" applyBorder="1" applyAlignment="1">
      <alignment horizontal="center"/>
    </xf>
    <xf numFmtId="0" fontId="0" fillId="0" borderId="14" xfId="0" applyFont="1" applyFill="1" applyBorder="1" applyAlignment="1">
      <alignment horizontal="center"/>
    </xf>
    <xf numFmtId="3" fontId="0" fillId="0" borderId="11" xfId="0" applyNumberFormat="1" applyFill="1" applyBorder="1" applyAlignment="1">
      <alignment horizontal="center"/>
    </xf>
    <xf numFmtId="3" fontId="0" fillId="0" borderId="14" xfId="0" applyNumberFormat="1" applyFill="1" applyBorder="1" applyAlignment="1">
      <alignment horizontal="center"/>
    </xf>
    <xf numFmtId="4" fontId="0" fillId="0" borderId="11" xfId="0" applyNumberFormat="1" applyFill="1" applyBorder="1" applyAlignment="1">
      <alignment horizontal="center"/>
    </xf>
    <xf numFmtId="4" fontId="0" fillId="0" borderId="14" xfId="0" applyNumberFormat="1" applyFill="1" applyBorder="1" applyAlignment="1">
      <alignment horizontal="center"/>
    </xf>
    <xf numFmtId="0" fontId="0" fillId="0" borderId="11" xfId="0" applyFill="1" applyBorder="1" applyAlignment="1">
      <alignment horizontal="center"/>
    </xf>
    <xf numFmtId="0" fontId="0" fillId="0" borderId="14" xfId="0" applyFill="1" applyBorder="1" applyAlignment="1">
      <alignment horizontal="center"/>
    </xf>
    <xf numFmtId="4" fontId="0" fillId="0" borderId="0" xfId="0" applyNumberFormat="1" applyFont="1" applyFill="1" applyAlignment="1">
      <alignment horizontal="center" vertical="center"/>
    </xf>
    <xf numFmtId="4" fontId="0" fillId="0" borderId="0" xfId="0" applyNumberFormat="1" applyFill="1" applyAlignment="1">
      <alignment horizontal="center" vertical="center"/>
    </xf>
    <xf numFmtId="0" fontId="3" fillId="0" borderId="10" xfId="0" applyFont="1" applyFill="1" applyBorder="1" applyAlignment="1">
      <alignment horizontal="center" wrapText="1"/>
    </xf>
    <xf numFmtId="0" fontId="3" fillId="0" borderId="10" xfId="0" applyFont="1" applyFill="1" applyBorder="1" applyAlignment="1">
      <alignment horizontal="center"/>
    </xf>
    <xf numFmtId="0" fontId="3" fillId="0" borderId="11" xfId="0" applyFont="1" applyFill="1" applyBorder="1" applyAlignment="1">
      <alignment horizontal="center" wrapText="1"/>
    </xf>
    <xf numFmtId="0" fontId="3" fillId="0" borderId="18" xfId="0" applyFont="1" applyFill="1" applyBorder="1" applyAlignment="1">
      <alignment horizontal="center" wrapText="1"/>
    </xf>
    <xf numFmtId="0" fontId="3" fillId="0" borderId="14" xfId="0" applyFont="1" applyFill="1" applyBorder="1" applyAlignment="1">
      <alignment horizontal="center" wrapText="1"/>
    </xf>
    <xf numFmtId="0" fontId="3" fillId="36" borderId="15" xfId="0" applyNumberFormat="1" applyFont="1" applyFill="1" applyBorder="1" applyAlignment="1">
      <alignment horizontal="center" vertical="center" wrapText="1"/>
    </xf>
    <xf numFmtId="0" fontId="3" fillId="36" borderId="12"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8" xfId="0" applyFont="1" applyFill="1" applyBorder="1" applyAlignment="1">
      <alignment horizontal="center"/>
    </xf>
    <xf numFmtId="0" fontId="0" fillId="0" borderId="0" xfId="0" applyFont="1" applyFill="1" applyAlignment="1">
      <alignment horizontal="center"/>
    </xf>
    <xf numFmtId="0" fontId="0" fillId="34" borderId="0" xfId="0" applyFill="1" applyAlignment="1">
      <alignment horizontal="center"/>
    </xf>
    <xf numFmtId="0" fontId="3" fillId="0" borderId="23" xfId="0" applyFont="1" applyFill="1" applyBorder="1" applyAlignment="1">
      <alignment horizontal="center" wrapText="1"/>
    </xf>
    <xf numFmtId="0" fontId="3" fillId="0" borderId="24" xfId="0" applyFont="1" applyFill="1" applyBorder="1" applyAlignment="1">
      <alignment horizontal="center" wrapText="1"/>
    </xf>
    <xf numFmtId="0" fontId="3" fillId="0" borderId="25" xfId="0" applyFont="1" applyFill="1" applyBorder="1" applyAlignment="1">
      <alignment horizontal="center" wrapText="1"/>
    </xf>
    <xf numFmtId="3" fontId="16" fillId="34" borderId="10" xfId="0" applyNumberFormat="1" applyFont="1" applyFill="1" applyBorder="1" applyAlignment="1">
      <alignment horizontal="center" vertical="center"/>
    </xf>
    <xf numFmtId="0" fontId="3" fillId="36" borderId="17" xfId="0" applyNumberFormat="1" applyFont="1" applyFill="1" applyBorder="1" applyAlignment="1">
      <alignment horizontal="center" vertical="center" wrapText="1"/>
    </xf>
    <xf numFmtId="0" fontId="0" fillId="0" borderId="0" xfId="0" applyFill="1" applyAlignment="1">
      <alignment horizontal="center"/>
    </xf>
    <xf numFmtId="1" fontId="16" fillId="0" borderId="10" xfId="0" applyNumberFormat="1" applyFont="1" applyFill="1" applyBorder="1" applyAlignment="1">
      <alignment horizontal="center" vertical="center"/>
    </xf>
    <xf numFmtId="0" fontId="16" fillId="0" borderId="10"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2" xfId="0" applyFont="1" applyFill="1" applyBorder="1" applyAlignment="1">
      <alignment horizontal="center" vertical="center"/>
    </xf>
    <xf numFmtId="1" fontId="3" fillId="0" borderId="11" xfId="0" applyNumberFormat="1" applyFont="1" applyFill="1" applyBorder="1" applyAlignment="1">
      <alignment horizontal="center" wrapText="1"/>
    </xf>
    <xf numFmtId="1" fontId="3" fillId="0" borderId="18" xfId="0" applyNumberFormat="1" applyFont="1" applyFill="1" applyBorder="1" applyAlignment="1">
      <alignment horizontal="center" wrapText="1"/>
    </xf>
    <xf numFmtId="1" fontId="3" fillId="0" borderId="14" xfId="0" applyNumberFormat="1" applyFont="1" applyFill="1" applyBorder="1" applyAlignment="1">
      <alignment horizontal="center" wrapText="1"/>
    </xf>
    <xf numFmtId="0" fontId="3" fillId="37" borderId="15" xfId="0" applyNumberFormat="1" applyFont="1" applyFill="1" applyBorder="1" applyAlignment="1">
      <alignment horizontal="center" vertical="center" wrapText="1"/>
    </xf>
    <xf numFmtId="0" fontId="3" fillId="37" borderId="17" xfId="0" applyNumberFormat="1" applyFont="1" applyFill="1" applyBorder="1" applyAlignment="1">
      <alignment horizontal="center" vertical="center" wrapText="1"/>
    </xf>
    <xf numFmtId="0" fontId="3" fillId="37" borderId="12" xfId="0" applyNumberFormat="1" applyFont="1" applyFill="1" applyBorder="1" applyAlignment="1">
      <alignment horizontal="center" vertical="center" wrapText="1"/>
    </xf>
    <xf numFmtId="0" fontId="16" fillId="0" borderId="11"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14" xfId="0" applyFont="1" applyFill="1" applyBorder="1" applyAlignment="1">
      <alignment horizontal="center" vertical="center"/>
    </xf>
    <xf numFmtId="0" fontId="0" fillId="0" borderId="10" xfId="0" applyFont="1" applyFill="1" applyBorder="1" applyAlignment="1">
      <alignment horizontal="center"/>
    </xf>
    <xf numFmtId="4" fontId="3" fillId="0" borderId="0" xfId="0" applyNumberFormat="1" applyFont="1" applyFill="1" applyBorder="1" applyAlignment="1">
      <alignment horizontal="center"/>
    </xf>
    <xf numFmtId="4" fontId="3" fillId="0" borderId="0" xfId="0" applyNumberFormat="1" applyFont="1" applyFill="1" applyBorder="1" applyAlignment="1">
      <alignment horizontal="center" vertical="center"/>
    </xf>
    <xf numFmtId="0" fontId="0" fillId="0" borderId="0" xfId="0" applyFont="1" applyAlignment="1">
      <alignment horizontal="center" wrapText="1"/>
    </xf>
    <xf numFmtId="0" fontId="0" fillId="0" borderId="0" xfId="0" applyFont="1" applyAlignment="1">
      <alignment horizontal="center"/>
    </xf>
    <xf numFmtId="0" fontId="0" fillId="0" borderId="0" xfId="0" applyAlignment="1">
      <alignment horizontal="center"/>
    </xf>
    <xf numFmtId="0" fontId="25" fillId="34" borderId="22" xfId="0" applyFont="1" applyFill="1" applyBorder="1" applyAlignment="1">
      <alignment horizontal="center"/>
    </xf>
    <xf numFmtId="0" fontId="1" fillId="0" borderId="10" xfId="0" applyFont="1" applyBorder="1" applyAlignment="1">
      <alignment horizontal="center" vertical="center" wrapText="1"/>
    </xf>
    <xf numFmtId="0" fontId="3" fillId="0" borderId="10" xfId="0" applyFont="1" applyBorder="1" applyAlignment="1">
      <alignment horizontal="center"/>
    </xf>
    <xf numFmtId="0" fontId="25" fillId="34" borderId="0" xfId="0" applyFont="1" applyFill="1" applyBorder="1" applyAlignment="1">
      <alignment horizontal="center"/>
    </xf>
    <xf numFmtId="0" fontId="1" fillId="0" borderId="11" xfId="0" applyFont="1" applyBorder="1" applyAlignment="1">
      <alignment horizontal="center" vertical="center" wrapText="1"/>
    </xf>
    <xf numFmtId="0" fontId="3" fillId="34" borderId="11" xfId="0" applyFont="1" applyFill="1" applyBorder="1" applyAlignment="1">
      <alignment horizontal="center"/>
    </xf>
    <xf numFmtId="0" fontId="3" fillId="34" borderId="18" xfId="0" applyFont="1" applyFill="1" applyBorder="1" applyAlignment="1">
      <alignment horizontal="center"/>
    </xf>
    <xf numFmtId="0" fontId="3" fillId="34" borderId="14" xfId="0" applyFont="1" applyFill="1" applyBorder="1" applyAlignment="1">
      <alignment horizontal="center"/>
    </xf>
    <xf numFmtId="0" fontId="3" fillId="0" borderId="12" xfId="0" applyFont="1" applyBorder="1" applyAlignment="1">
      <alignment horizontal="center" vertical="center"/>
    </xf>
    <xf numFmtId="0" fontId="3" fillId="0" borderId="11" xfId="0" applyFont="1" applyBorder="1" applyAlignment="1">
      <alignment horizontal="center"/>
    </xf>
    <xf numFmtId="0" fontId="3" fillId="0" borderId="18" xfId="0" applyFont="1" applyBorder="1" applyAlignment="1">
      <alignment horizontal="center"/>
    </xf>
    <xf numFmtId="0" fontId="3" fillId="0" borderId="14" xfId="0" applyFont="1" applyBorder="1" applyAlignment="1">
      <alignment horizont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1" fillId="0" borderId="10" xfId="0" applyFont="1" applyFill="1" applyBorder="1" applyAlignment="1">
      <alignment horizontal="center"/>
    </xf>
    <xf numFmtId="0" fontId="3" fillId="0" borderId="10" xfId="0" applyFont="1" applyBorder="1" applyAlignment="1">
      <alignment horizontal="center" vertical="top"/>
    </xf>
    <xf numFmtId="0" fontId="0" fillId="0" borderId="10" xfId="0" applyBorder="1" applyAlignment="1">
      <alignment horizontal="center"/>
    </xf>
    <xf numFmtId="3" fontId="3" fillId="0" borderId="10" xfId="0" applyNumberFormat="1" applyFont="1" applyFill="1" applyBorder="1" applyAlignment="1">
      <alignment horizontal="center"/>
    </xf>
    <xf numFmtId="0" fontId="8" fillId="0" borderId="23" xfId="0" applyFont="1" applyFill="1" applyBorder="1" applyAlignment="1">
      <alignment horizontal="center" vertical="center"/>
    </xf>
    <xf numFmtId="0" fontId="8" fillId="0" borderId="13" xfId="0" applyFont="1" applyFill="1" applyBorder="1" applyAlignment="1">
      <alignment horizontal="center" vertical="center"/>
    </xf>
    <xf numFmtId="0" fontId="81" fillId="0" borderId="25" xfId="0" applyFont="1" applyFill="1" applyBorder="1" applyAlignment="1">
      <alignment horizontal="center" vertical="center" wrapText="1"/>
    </xf>
    <xf numFmtId="0" fontId="81" fillId="0" borderId="26" xfId="0" applyFont="1" applyFill="1" applyBorder="1" applyAlignment="1">
      <alignment horizontal="center" vertical="center" wrapText="1"/>
    </xf>
    <xf numFmtId="0" fontId="3"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187" fontId="86" fillId="0" borderId="10" xfId="42" applyNumberFormat="1" applyFont="1" applyFill="1" applyBorder="1" applyAlignment="1">
      <alignment horizontal="center" vertical="center"/>
    </xf>
    <xf numFmtId="0" fontId="0" fillId="0" borderId="10" xfId="0" applyFill="1" applyBorder="1" applyAlignment="1">
      <alignment horizontal="center"/>
    </xf>
    <xf numFmtId="4" fontId="3" fillId="0" borderId="10" xfId="0" applyNumberFormat="1" applyFont="1" applyFill="1" applyBorder="1" applyAlignment="1">
      <alignment horizontal="center" vertical="center"/>
    </xf>
    <xf numFmtId="2" fontId="3" fillId="0" borderId="10" xfId="0" applyNumberFormat="1" applyFont="1" applyFill="1" applyBorder="1" applyAlignment="1">
      <alignment horizontal="center"/>
    </xf>
    <xf numFmtId="0" fontId="0" fillId="0" borderId="27" xfId="0" applyFont="1" applyBorder="1" applyAlignment="1">
      <alignment horizontal="center"/>
    </xf>
    <xf numFmtId="0" fontId="0" fillId="0" borderId="27" xfId="0" applyBorder="1" applyAlignment="1">
      <alignment horizontal="center"/>
    </xf>
    <xf numFmtId="0" fontId="3" fillId="0" borderId="10" xfId="0" applyNumberFormat="1" applyFont="1" applyFill="1" applyBorder="1" applyAlignment="1">
      <alignment horizontal="center" vertical="center" wrapText="1"/>
    </xf>
    <xf numFmtId="0" fontId="3" fillId="0" borderId="0" xfId="0" applyFont="1" applyFill="1" applyAlignment="1">
      <alignment horizontal="right" vertical="center"/>
    </xf>
    <xf numFmtId="0" fontId="23" fillId="0" borderId="22" xfId="0" applyNumberFormat="1" applyFont="1" applyFill="1" applyBorder="1" applyAlignment="1">
      <alignment horizontal="right" vertical="center" wrapText="1"/>
    </xf>
    <xf numFmtId="0" fontId="3" fillId="0" borderId="14" xfId="0" applyNumberFormat="1" applyFont="1" applyFill="1" applyBorder="1" applyAlignment="1">
      <alignment horizontal="center" vertical="center" wrapText="1"/>
    </xf>
    <xf numFmtId="0" fontId="1" fillId="0" borderId="0" xfId="0" applyNumberFormat="1" applyFont="1" applyFill="1" applyAlignment="1">
      <alignment horizontal="center" vertical="center" wrapText="1"/>
    </xf>
    <xf numFmtId="0" fontId="11" fillId="0" borderId="0" xfId="0" applyNumberFormat="1" applyFont="1" applyFill="1" applyAlignment="1">
      <alignment horizontal="center" vertical="center" wrapText="1"/>
    </xf>
    <xf numFmtId="0" fontId="3" fillId="0" borderId="17"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27" xfId="0" applyFont="1" applyFill="1" applyBorder="1" applyAlignment="1">
      <alignment horizontal="center" wrapText="1"/>
    </xf>
    <xf numFmtId="0" fontId="0" fillId="0" borderId="0" xfId="0" applyFont="1" applyFill="1" applyAlignment="1">
      <alignment horizontal="center" wrapText="1"/>
    </xf>
    <xf numFmtId="0" fontId="3" fillId="0" borderId="23" xfId="0" applyNumberFormat="1" applyFont="1" applyFill="1" applyBorder="1" applyAlignment="1">
      <alignment horizontal="center" vertical="center" wrapText="1"/>
    </xf>
    <xf numFmtId="0" fontId="3" fillId="0" borderId="24" xfId="0" applyNumberFormat="1" applyFont="1" applyFill="1" applyBorder="1" applyAlignment="1">
      <alignment horizontal="center" vertical="center" wrapText="1"/>
    </xf>
    <xf numFmtId="0" fontId="3" fillId="0" borderId="25" xfId="0" applyNumberFormat="1" applyFont="1" applyFill="1" applyBorder="1" applyAlignment="1">
      <alignment horizontal="center" vertical="center" wrapText="1"/>
    </xf>
    <xf numFmtId="0" fontId="3" fillId="0" borderId="27"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28"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76" fillId="0" borderId="0" xfId="0" applyFont="1" applyFill="1" applyAlignment="1">
      <alignment horizontal="center" wrapText="1"/>
    </xf>
    <xf numFmtId="0" fontId="3" fillId="0" borderId="10" xfId="0" applyFont="1" applyFill="1" applyBorder="1" applyAlignment="1">
      <alignment horizontal="center" vertical="center" wrapText="1"/>
    </xf>
    <xf numFmtId="0" fontId="9" fillId="0" borderId="11" xfId="0" applyFont="1" applyFill="1" applyBorder="1" applyAlignment="1">
      <alignment horizontal="center"/>
    </xf>
    <xf numFmtId="0" fontId="9" fillId="0" borderId="18" xfId="0" applyFont="1" applyFill="1" applyBorder="1" applyAlignment="1">
      <alignment horizontal="center"/>
    </xf>
    <xf numFmtId="0" fontId="9" fillId="0" borderId="14" xfId="0" applyFont="1" applyFill="1" applyBorder="1" applyAlignment="1">
      <alignment horizontal="center"/>
    </xf>
    <xf numFmtId="0" fontId="9" fillId="0" borderId="15" xfId="0" applyFont="1" applyFill="1" applyBorder="1" applyAlignment="1">
      <alignment horizontal="center" vertical="center"/>
    </xf>
    <xf numFmtId="0" fontId="9" fillId="0" borderId="12" xfId="0" applyFont="1" applyFill="1" applyBorder="1" applyAlignment="1">
      <alignment horizontal="center" vertical="center"/>
    </xf>
    <xf numFmtId="0" fontId="88" fillId="0" borderId="22" xfId="0" applyFont="1" applyFill="1" applyBorder="1" applyAlignment="1">
      <alignment horizontal="center"/>
    </xf>
    <xf numFmtId="3" fontId="3" fillId="0" borderId="10" xfId="0" applyNumberFormat="1" applyFont="1" applyFill="1" applyBorder="1" applyAlignment="1">
      <alignment horizontal="center" vertical="center" wrapText="1"/>
    </xf>
    <xf numFmtId="3" fontId="11" fillId="0" borderId="22"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2" xfId="0" applyFont="1" applyFill="1" applyBorder="1" applyAlignment="1">
      <alignment horizontal="center" vertical="center" wrapText="1"/>
    </xf>
    <xf numFmtId="3" fontId="3" fillId="0" borderId="23" xfId="0" applyNumberFormat="1" applyFont="1" applyFill="1" applyBorder="1" applyAlignment="1">
      <alignment horizontal="center" vertical="center" wrapText="1"/>
    </xf>
    <xf numFmtId="3" fontId="3" fillId="0" borderId="24"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3" fillId="0" borderId="18" xfId="0" applyNumberFormat="1" applyFont="1" applyFill="1" applyBorder="1" applyAlignment="1">
      <alignment horizontal="center" vertical="center" wrapText="1"/>
    </xf>
    <xf numFmtId="3" fontId="3" fillId="0" borderId="14"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3" fontId="1" fillId="0" borderId="10" xfId="0" applyNumberFormat="1" applyFont="1" applyFill="1" applyBorder="1" applyAlignment="1">
      <alignment horizontal="center" vertical="center" wrapText="1"/>
    </xf>
    <xf numFmtId="3" fontId="12" fillId="0" borderId="10" xfId="0" applyNumberFormat="1" applyFont="1" applyFill="1" applyBorder="1" applyAlignment="1">
      <alignment horizontal="center" vertical="center" wrapText="1"/>
    </xf>
    <xf numFmtId="3" fontId="12"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3" fontId="1" fillId="0" borderId="15" xfId="0" applyNumberFormat="1" applyFont="1" applyFill="1" applyBorder="1" applyAlignment="1">
      <alignment horizontal="center" vertical="center" wrapText="1"/>
    </xf>
    <xf numFmtId="3" fontId="1" fillId="0" borderId="17" xfId="0" applyNumberFormat="1" applyFont="1" applyFill="1" applyBorder="1" applyAlignment="1">
      <alignment horizontal="center" vertical="center" wrapText="1"/>
    </xf>
    <xf numFmtId="3" fontId="1" fillId="0" borderId="12" xfId="0" applyNumberFormat="1" applyFont="1" applyFill="1" applyBorder="1" applyAlignment="1">
      <alignment horizontal="center" vertical="center" wrapText="1"/>
    </xf>
    <xf numFmtId="3" fontId="12" fillId="0" borderId="11" xfId="0" applyNumberFormat="1" applyFont="1" applyFill="1" applyBorder="1" applyAlignment="1">
      <alignment horizontal="center" vertical="center" wrapText="1"/>
    </xf>
    <xf numFmtId="3" fontId="12" fillId="0" borderId="18" xfId="0" applyNumberFormat="1" applyFont="1" applyFill="1" applyBorder="1" applyAlignment="1">
      <alignment horizontal="center" vertical="center" wrapText="1"/>
    </xf>
    <xf numFmtId="3" fontId="12" fillId="0" borderId="14" xfId="0" applyNumberFormat="1" applyFont="1" applyFill="1" applyBorder="1" applyAlignment="1">
      <alignment horizontal="center" vertical="center" wrapText="1"/>
    </xf>
    <xf numFmtId="3" fontId="1" fillId="0" borderId="11" xfId="0" applyNumberFormat="1" applyFont="1" applyFill="1" applyBorder="1" applyAlignment="1">
      <alignment horizontal="center" vertical="center" wrapText="1"/>
    </xf>
    <xf numFmtId="3" fontId="1" fillId="0" borderId="18" xfId="0" applyNumberFormat="1" applyFont="1" applyFill="1" applyBorder="1" applyAlignment="1">
      <alignment horizontal="center" vertical="center" wrapText="1"/>
    </xf>
    <xf numFmtId="3" fontId="1" fillId="0" borderId="14"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2" xfId="0" applyFont="1" applyFill="1" applyBorder="1" applyAlignment="1">
      <alignment horizontal="center" vertical="center" wrapText="1"/>
    </xf>
    <xf numFmtId="3" fontId="12" fillId="0" borderId="0" xfId="0" applyNumberFormat="1" applyFont="1" applyFill="1" applyBorder="1" applyAlignment="1">
      <alignment horizontal="right" vertical="center"/>
    </xf>
    <xf numFmtId="3" fontId="12" fillId="0" borderId="11" xfId="0" applyNumberFormat="1" applyFont="1" applyFill="1" applyBorder="1" applyAlignment="1">
      <alignment horizontal="center" vertical="center"/>
    </xf>
    <xf numFmtId="3" fontId="12" fillId="0" borderId="18" xfId="0" applyNumberFormat="1" applyFont="1" applyFill="1" applyBorder="1" applyAlignment="1">
      <alignment horizontal="center" vertical="center"/>
    </xf>
    <xf numFmtId="3" fontId="12" fillId="0" borderId="14" xfId="0" applyNumberFormat="1" applyFont="1" applyFill="1" applyBorder="1" applyAlignment="1">
      <alignment horizontal="center" vertical="center"/>
    </xf>
    <xf numFmtId="0" fontId="1" fillId="0" borderId="15"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2" xfId="0" applyFont="1" applyFill="1" applyBorder="1" applyAlignment="1">
      <alignment horizontal="center" vertical="center"/>
    </xf>
    <xf numFmtId="3" fontId="12" fillId="0" borderId="22" xfId="0" applyNumberFormat="1" applyFont="1" applyFill="1" applyBorder="1" applyAlignment="1">
      <alignment horizontal="right" vertical="center"/>
    </xf>
    <xf numFmtId="3" fontId="12" fillId="0" borderId="22" xfId="0" applyNumberFormat="1" applyFont="1" applyFill="1" applyBorder="1" applyAlignment="1">
      <alignment horizontal="center" vertical="center"/>
    </xf>
    <xf numFmtId="0" fontId="12" fillId="0" borderId="0" xfId="0" applyFont="1" applyFill="1" applyAlignment="1">
      <alignment horizontal="center"/>
    </xf>
    <xf numFmtId="0" fontId="3" fillId="0" borderId="10" xfId="0" applyFont="1" applyBorder="1" applyAlignment="1">
      <alignment horizontal="center" vertical="center" wrapText="1"/>
    </xf>
    <xf numFmtId="0" fontId="3" fillId="0" borderId="0" xfId="0" applyFont="1" applyAlignment="1">
      <alignment horizontal="left"/>
    </xf>
    <xf numFmtId="0" fontId="23" fillId="0" borderId="0" xfId="0" applyFont="1" applyFill="1" applyAlignment="1">
      <alignment horizontal="left" vertical="center" wrapText="1"/>
    </xf>
    <xf numFmtId="0" fontId="3" fillId="0" borderId="0" xfId="0" applyFont="1" applyFill="1" applyAlignment="1">
      <alignment horizontal="right" vertical="center" wrapText="1"/>
    </xf>
    <xf numFmtId="0" fontId="0"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23" fillId="0" borderId="0" xfId="0" applyFont="1" applyFill="1" applyAlignment="1">
      <alignment horizontal="center" vertical="center" wrapText="1"/>
    </xf>
    <xf numFmtId="3" fontId="0" fillId="0" borderId="15" xfId="0" applyNumberFormat="1" applyFont="1" applyFill="1" applyBorder="1" applyAlignment="1">
      <alignment horizontal="center" vertical="center" wrapText="1"/>
    </xf>
    <xf numFmtId="3" fontId="0" fillId="0" borderId="12" xfId="0" applyNumberFormat="1" applyFont="1" applyFill="1" applyBorder="1" applyAlignment="1">
      <alignment horizontal="center" vertical="center" wrapText="1"/>
    </xf>
    <xf numFmtId="0" fontId="23" fillId="0" borderId="22" xfId="0" applyFont="1" applyFill="1" applyBorder="1" applyAlignment="1">
      <alignment horizontal="right" vertical="center" wrapText="1"/>
    </xf>
    <xf numFmtId="0" fontId="0" fillId="0" borderId="1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2" fillId="0" borderId="0" xfId="0" applyFont="1" applyFill="1" applyAlignment="1">
      <alignment horizontal="left" vertical="center" wrapText="1"/>
    </xf>
    <xf numFmtId="0" fontId="1" fillId="0" borderId="15"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4" xfId="59"/>
    <cellStyle name="Normal 6" xfId="60"/>
    <cellStyle name="Normal 8" xfId="61"/>
    <cellStyle name="Normal_Bieu PB von chi tiet CT 135 nam 2017 (Chien 5.7.2017)" xfId="62"/>
    <cellStyle name="Normal_Sheet1"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uan\Downloads\Ngh&#7883;%20quy&#7871;t\T&#237;nh%20to&#225;n%20-%20DA%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ổng 10 dự án"/>
      <sheetName val="DA1 ĐẦU TƯ VÀ PHẦN A PHỤ LỤC"/>
      <sheetName val="DA1 SN VÀ PHẦN A PHỤ LỤ (2"/>
      <sheetName val="Biểu 0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5"/>
  <sheetViews>
    <sheetView zoomScalePageLayoutView="0" workbookViewId="0" topLeftCell="A1">
      <pane xSplit="1" ySplit="4" topLeftCell="B14" activePane="bottomRight" state="frozen"/>
      <selection pane="topLeft" activeCell="A1" sqref="A1"/>
      <selection pane="topRight" activeCell="B1" sqref="B1"/>
      <selection pane="bottomLeft" activeCell="A8" sqref="A8"/>
      <selection pane="bottomRight" activeCell="H24" sqref="H24"/>
    </sheetView>
  </sheetViews>
  <sheetFormatPr defaultColWidth="9.00390625" defaultRowHeight="15.75"/>
  <cols>
    <col min="1" max="1" width="4.375" style="3" customWidth="1"/>
    <col min="2" max="2" width="15.625" style="3" customWidth="1"/>
    <col min="3" max="3" width="10.875" style="116" customWidth="1"/>
    <col min="4" max="4" width="11.125" style="116" customWidth="1"/>
    <col min="5" max="5" width="12.875" style="116" customWidth="1"/>
    <col min="6" max="6" width="11.625" style="116" customWidth="1"/>
    <col min="7" max="10" width="9.00390625" style="3" customWidth="1"/>
  </cols>
  <sheetData>
    <row r="1" spans="1:6" ht="21" customHeight="1">
      <c r="A1" s="692" t="s">
        <v>197</v>
      </c>
      <c r="B1" s="692"/>
      <c r="C1" s="692"/>
      <c r="D1" s="692"/>
      <c r="E1" s="692"/>
      <c r="F1" s="692"/>
    </row>
    <row r="2" spans="1:10" s="86" customFormat="1" ht="18">
      <c r="A2" s="231"/>
      <c r="B2" s="231"/>
      <c r="C2" s="209"/>
      <c r="D2" s="209"/>
      <c r="E2" s="209"/>
      <c r="F2" s="209"/>
      <c r="G2" s="115"/>
      <c r="H2" s="115"/>
      <c r="I2" s="115"/>
      <c r="J2" s="115"/>
    </row>
    <row r="3" ht="12.75" customHeight="1"/>
    <row r="4" spans="1:10" s="147" customFormat="1" ht="54.75" customHeight="1">
      <c r="A4" s="142" t="s">
        <v>0</v>
      </c>
      <c r="B4" s="142" t="s">
        <v>24</v>
      </c>
      <c r="C4" s="232" t="s">
        <v>9</v>
      </c>
      <c r="D4" s="232" t="s">
        <v>188</v>
      </c>
      <c r="E4" s="143" t="s">
        <v>187</v>
      </c>
      <c r="F4" s="143" t="s">
        <v>196</v>
      </c>
      <c r="G4" s="146"/>
      <c r="H4" s="146"/>
      <c r="I4" s="146"/>
      <c r="J4" s="146"/>
    </row>
    <row r="5" spans="1:10" s="7" customFormat="1" ht="18.75" customHeight="1">
      <c r="A5" s="110" t="s">
        <v>13</v>
      </c>
      <c r="B5" s="119" t="s">
        <v>178</v>
      </c>
      <c r="C5" s="110">
        <v>3</v>
      </c>
      <c r="D5" s="110">
        <v>15</v>
      </c>
      <c r="E5" s="110">
        <v>45</v>
      </c>
      <c r="F5" s="202">
        <f>+E5*$F$25</f>
        <v>37.997757847533634</v>
      </c>
      <c r="G5" s="121"/>
      <c r="H5" s="121"/>
      <c r="I5" s="121"/>
      <c r="J5" s="121"/>
    </row>
    <row r="6" spans="1:6" s="72" customFormat="1" ht="16.5" customHeight="1">
      <c r="A6" s="80" t="s">
        <v>15</v>
      </c>
      <c r="B6" s="81" t="s">
        <v>177</v>
      </c>
      <c r="C6" s="80">
        <v>17</v>
      </c>
      <c r="D6" s="80"/>
      <c r="E6" s="122">
        <f>+E7+E8+E9</f>
        <v>810</v>
      </c>
      <c r="F6" s="202">
        <f>+E6*$F$25</f>
        <v>683.9596412556054</v>
      </c>
    </row>
    <row r="7" spans="1:6" s="3" customFormat="1" ht="16.5" customHeight="1">
      <c r="A7" s="22">
        <v>1</v>
      </c>
      <c r="B7" s="123" t="s">
        <v>184</v>
      </c>
      <c r="C7" s="69">
        <v>14</v>
      </c>
      <c r="D7" s="69">
        <v>50</v>
      </c>
      <c r="E7" s="69">
        <f>+D7*C7</f>
        <v>700</v>
      </c>
      <c r="F7" s="202"/>
    </row>
    <row r="8" spans="1:6" s="3" customFormat="1" ht="16.5" customHeight="1">
      <c r="A8" s="69">
        <v>2</v>
      </c>
      <c r="B8" s="123" t="s">
        <v>185</v>
      </c>
      <c r="C8" s="69">
        <v>3</v>
      </c>
      <c r="D8" s="69">
        <v>30</v>
      </c>
      <c r="E8" s="69">
        <f aca="true" t="shared" si="0" ref="E8:E21">+D8*C8</f>
        <v>90</v>
      </c>
      <c r="F8" s="202"/>
    </row>
    <row r="9" spans="1:6" s="3" customFormat="1" ht="16.5" customHeight="1">
      <c r="A9" s="69">
        <v>3</v>
      </c>
      <c r="B9" s="123" t="s">
        <v>190</v>
      </c>
      <c r="C9" s="69">
        <v>1</v>
      </c>
      <c r="D9" s="69"/>
      <c r="E9" s="69">
        <v>20</v>
      </c>
      <c r="F9" s="202"/>
    </row>
    <row r="10" spans="1:6" s="150" customFormat="1" ht="16.5" customHeight="1">
      <c r="A10" s="173" t="s">
        <v>12</v>
      </c>
      <c r="B10" s="174" t="s">
        <v>176</v>
      </c>
      <c r="C10" s="175">
        <v>27</v>
      </c>
      <c r="D10" s="175"/>
      <c r="E10" s="126">
        <f>SUM(E11:E13)</f>
        <v>735</v>
      </c>
      <c r="F10" s="202">
        <f>+E10*$F$25</f>
        <v>620.6300448430493</v>
      </c>
    </row>
    <row r="11" spans="1:6" s="3" customFormat="1" ht="16.5" customHeight="1">
      <c r="A11" s="64">
        <v>1</v>
      </c>
      <c r="B11" s="123" t="s">
        <v>184</v>
      </c>
      <c r="C11" s="64">
        <v>9</v>
      </c>
      <c r="D11" s="64">
        <v>50</v>
      </c>
      <c r="E11" s="69">
        <f t="shared" si="0"/>
        <v>450</v>
      </c>
      <c r="F11" s="202"/>
    </row>
    <row r="12" spans="1:6" s="3" customFormat="1" ht="16.5" customHeight="1">
      <c r="A12" s="22">
        <v>2</v>
      </c>
      <c r="B12" s="123" t="s">
        <v>185</v>
      </c>
      <c r="C12" s="22">
        <v>1</v>
      </c>
      <c r="D12" s="22">
        <v>30</v>
      </c>
      <c r="E12" s="69">
        <f t="shared" si="0"/>
        <v>30</v>
      </c>
      <c r="F12" s="202"/>
    </row>
    <row r="13" spans="1:6" s="3" customFormat="1" ht="16.5" customHeight="1">
      <c r="A13" s="64">
        <v>3</v>
      </c>
      <c r="B13" s="104" t="s">
        <v>186</v>
      </c>
      <c r="C13" s="22">
        <v>17</v>
      </c>
      <c r="D13" s="22">
        <v>15</v>
      </c>
      <c r="E13" s="69">
        <f t="shared" si="0"/>
        <v>255</v>
      </c>
      <c r="F13" s="202"/>
    </row>
    <row r="14" spans="1:6" s="72" customFormat="1" ht="18" customHeight="1">
      <c r="A14" s="177" t="s">
        <v>16</v>
      </c>
      <c r="B14" s="178" t="s">
        <v>179</v>
      </c>
      <c r="C14" s="177">
        <v>12</v>
      </c>
      <c r="D14" s="177"/>
      <c r="E14" s="126">
        <f>SUM(E15:E17)</f>
        <v>335</v>
      </c>
      <c r="F14" s="202">
        <f>+E14*$F$25</f>
        <v>282.87219730941706</v>
      </c>
    </row>
    <row r="15" spans="1:6" s="3" customFormat="1" ht="18" customHeight="1">
      <c r="A15" s="109">
        <v>1</v>
      </c>
      <c r="B15" s="123" t="s">
        <v>184</v>
      </c>
      <c r="C15" s="33">
        <v>4</v>
      </c>
      <c r="D15" s="33">
        <v>50</v>
      </c>
      <c r="E15" s="69">
        <f t="shared" si="0"/>
        <v>200</v>
      </c>
      <c r="F15" s="202"/>
    </row>
    <row r="16" spans="1:6" s="3" customFormat="1" ht="18" customHeight="1">
      <c r="A16" s="109">
        <v>2</v>
      </c>
      <c r="B16" s="123" t="s">
        <v>185</v>
      </c>
      <c r="C16" s="33">
        <v>1</v>
      </c>
      <c r="D16" s="33">
        <v>30</v>
      </c>
      <c r="E16" s="69">
        <f t="shared" si="0"/>
        <v>30</v>
      </c>
      <c r="F16" s="202"/>
    </row>
    <row r="17" spans="1:6" s="3" customFormat="1" ht="18" customHeight="1">
      <c r="A17" s="109">
        <v>3</v>
      </c>
      <c r="B17" s="104" t="s">
        <v>186</v>
      </c>
      <c r="C17" s="33">
        <v>7</v>
      </c>
      <c r="D17" s="33">
        <v>15</v>
      </c>
      <c r="E17" s="69">
        <f t="shared" si="0"/>
        <v>105</v>
      </c>
      <c r="F17" s="202"/>
    </row>
    <row r="18" spans="1:6" s="72" customFormat="1" ht="18" customHeight="1">
      <c r="A18" s="126" t="s">
        <v>19</v>
      </c>
      <c r="B18" s="127" t="s">
        <v>180</v>
      </c>
      <c r="C18" s="38">
        <v>14</v>
      </c>
      <c r="D18" s="38">
        <f>SUM(D19:D21)</f>
        <v>95</v>
      </c>
      <c r="E18" s="38">
        <f>SUM(E19:E21)</f>
        <v>305</v>
      </c>
      <c r="F18" s="202">
        <f>+E18*$F$25</f>
        <v>257.5403587443946</v>
      </c>
    </row>
    <row r="19" spans="1:6" s="3" customFormat="1" ht="18" customHeight="1">
      <c r="A19" s="22">
        <v>1</v>
      </c>
      <c r="B19" s="123" t="s">
        <v>184</v>
      </c>
      <c r="C19" s="22">
        <v>1</v>
      </c>
      <c r="D19" s="22">
        <v>50</v>
      </c>
      <c r="E19" s="69">
        <f t="shared" si="0"/>
        <v>50</v>
      </c>
      <c r="F19" s="206"/>
    </row>
    <row r="20" spans="1:6" s="3" customFormat="1" ht="18" customHeight="1">
      <c r="A20" s="22">
        <v>2</v>
      </c>
      <c r="B20" s="123" t="s">
        <v>185</v>
      </c>
      <c r="C20" s="22">
        <v>4</v>
      </c>
      <c r="D20" s="22">
        <v>30</v>
      </c>
      <c r="E20" s="69">
        <f t="shared" si="0"/>
        <v>120</v>
      </c>
      <c r="F20" s="206"/>
    </row>
    <row r="21" spans="1:6" s="3" customFormat="1" ht="16.5" customHeight="1">
      <c r="A21" s="22">
        <v>3</v>
      </c>
      <c r="B21" s="104" t="s">
        <v>186</v>
      </c>
      <c r="C21" s="22">
        <v>9</v>
      </c>
      <c r="D21" s="22">
        <v>15</v>
      </c>
      <c r="E21" s="69">
        <f t="shared" si="0"/>
        <v>135</v>
      </c>
      <c r="F21" s="206"/>
    </row>
    <row r="22" spans="1:6" ht="15">
      <c r="A22" s="132"/>
      <c r="B22" s="132" t="s">
        <v>206</v>
      </c>
      <c r="C22" s="235"/>
      <c r="D22" s="235"/>
      <c r="E22" s="133">
        <f>+E18+E14+E10+E6+E5</f>
        <v>2230</v>
      </c>
      <c r="F22" s="133">
        <f>+F18+F14+F10+F6+F5</f>
        <v>1883</v>
      </c>
    </row>
    <row r="23" spans="3:6" ht="15">
      <c r="C23" s="286" t="s">
        <v>227</v>
      </c>
      <c r="D23" s="286" t="s">
        <v>228</v>
      </c>
      <c r="E23" s="286" t="s">
        <v>222</v>
      </c>
      <c r="F23" s="286" t="s">
        <v>193</v>
      </c>
    </row>
    <row r="24" spans="2:7" ht="16.5">
      <c r="B24" s="150" t="s">
        <v>189</v>
      </c>
      <c r="C24" s="116">
        <v>1883</v>
      </c>
      <c r="D24" s="116">
        <f>+C24</f>
        <v>1883</v>
      </c>
      <c r="E24" s="227"/>
      <c r="F24" s="289">
        <f>+D24-E24</f>
        <v>1883</v>
      </c>
      <c r="G24" s="116"/>
    </row>
    <row r="25" spans="2:6" ht="15">
      <c r="B25" s="287" t="s">
        <v>215</v>
      </c>
      <c r="F25" s="288">
        <f>+F24/E22</f>
        <v>0.8443946188340807</v>
      </c>
    </row>
  </sheetData>
  <sheetProtection/>
  <mergeCells count="1">
    <mergeCell ref="A1:F1"/>
  </mergeCells>
  <printOptions/>
  <pageMargins left="0.196850393700787" right="0.236220472440945" top="0.196850393700787" bottom="0.196850393700787" header="0.275590551181102" footer="0.511811023622047"/>
  <pageSetup horizontalDpi="600" verticalDpi="600" orientation="landscape" paperSize="9" r:id="rId1"/>
  <headerFooter differentFirst="1" alignWithMargins="0">
    <oddHeader>&amp;C&amp;P</oddHeader>
  </headerFooter>
</worksheet>
</file>

<file path=xl/worksheets/sheet10.xml><?xml version="1.0" encoding="utf-8"?>
<worksheet xmlns="http://schemas.openxmlformats.org/spreadsheetml/2006/main" xmlns:r="http://schemas.openxmlformats.org/officeDocument/2006/relationships">
  <dimension ref="A1:P68"/>
  <sheetViews>
    <sheetView zoomScalePageLayoutView="0" workbookViewId="0" topLeftCell="A43">
      <selection activeCell="J70" sqref="J70"/>
    </sheetView>
  </sheetViews>
  <sheetFormatPr defaultColWidth="9.00390625" defaultRowHeight="15.75"/>
  <cols>
    <col min="1" max="1" width="4.625" style="342" customWidth="1"/>
    <col min="2" max="2" width="18.50390625" style="0" customWidth="1"/>
    <col min="3" max="3" width="10.00390625" style="0" customWidth="1"/>
    <col min="4" max="4" width="12.50390625" style="0" customWidth="1"/>
    <col min="5" max="5" width="11.125" style="0" customWidth="1"/>
    <col min="6" max="9" width="9.00390625" style="0" customWidth="1"/>
    <col min="10" max="10" width="12.125" style="0" customWidth="1"/>
  </cols>
  <sheetData>
    <row r="1" spans="1:10" ht="68.25" customHeight="1">
      <c r="A1" s="732" t="s">
        <v>491</v>
      </c>
      <c r="B1" s="732"/>
      <c r="C1" s="732"/>
      <c r="D1" s="732"/>
      <c r="E1" s="732"/>
      <c r="F1" s="732"/>
      <c r="G1" s="732"/>
      <c r="H1" s="732"/>
      <c r="I1" s="732"/>
      <c r="J1" s="732"/>
    </row>
    <row r="2" spans="1:10" ht="19.5" customHeight="1">
      <c r="A2" s="785"/>
      <c r="B2" s="785"/>
      <c r="C2" s="785"/>
      <c r="D2" s="785"/>
      <c r="E2" s="785"/>
      <c r="F2" s="785"/>
      <c r="G2" s="785"/>
      <c r="H2" s="785"/>
      <c r="I2" s="785"/>
      <c r="J2" s="785"/>
    </row>
    <row r="4" spans="1:10" ht="27.75" customHeight="1">
      <c r="A4" s="733" t="s">
        <v>0</v>
      </c>
      <c r="B4" s="733" t="s">
        <v>446</v>
      </c>
      <c r="C4" s="726" t="s">
        <v>490</v>
      </c>
      <c r="D4" s="726"/>
      <c r="E4" s="726"/>
      <c r="F4" s="726"/>
      <c r="G4" s="726"/>
      <c r="H4" s="726"/>
      <c r="I4" s="726"/>
      <c r="J4" s="726"/>
    </row>
    <row r="5" spans="1:10" ht="21" customHeight="1">
      <c r="A5" s="734"/>
      <c r="B5" s="734"/>
      <c r="C5" s="733" t="s">
        <v>447</v>
      </c>
      <c r="D5" s="733" t="s">
        <v>448</v>
      </c>
      <c r="E5" s="560"/>
      <c r="F5" s="560"/>
      <c r="G5" s="560"/>
      <c r="H5" s="560"/>
      <c r="I5" s="560"/>
      <c r="J5" s="733" t="s">
        <v>449</v>
      </c>
    </row>
    <row r="6" spans="1:13" ht="30.75" customHeight="1">
      <c r="A6" s="734"/>
      <c r="B6" s="734"/>
      <c r="C6" s="735"/>
      <c r="D6" s="735"/>
      <c r="E6" s="561"/>
      <c r="F6" s="561" t="s">
        <v>605</v>
      </c>
      <c r="G6" s="561" t="s">
        <v>606</v>
      </c>
      <c r="H6" s="570">
        <v>0.1</v>
      </c>
      <c r="I6" s="561" t="s">
        <v>208</v>
      </c>
      <c r="J6" s="735"/>
      <c r="M6" s="452"/>
    </row>
    <row r="7" spans="1:13" s="1" customFormat="1" ht="15">
      <c r="A7" s="377" t="str">
        <f>'DA 4 b'!A5</f>
        <v>I</v>
      </c>
      <c r="B7" s="332" t="str">
        <f>'DA 4 b'!B5</f>
        <v>HUYỆN LẠNG GIANG</v>
      </c>
      <c r="C7" s="444">
        <f>'DA 4 b'!L5</f>
        <v>482.64142157362494</v>
      </c>
      <c r="D7" s="444">
        <f>'DA 4 b'!M5</f>
        <v>434.37727941626247</v>
      </c>
      <c r="E7" s="444">
        <f>E8</f>
        <v>434</v>
      </c>
      <c r="F7" s="444"/>
      <c r="G7" s="444"/>
      <c r="H7" s="444"/>
      <c r="I7" s="444">
        <f>I8</f>
        <v>484</v>
      </c>
      <c r="J7" s="444">
        <f>'DA 4 b'!N5</f>
        <v>48.2641421573625</v>
      </c>
      <c r="K7" s="407">
        <f>SUM(E7:I7)</f>
        <v>918</v>
      </c>
      <c r="L7" s="407"/>
      <c r="M7" s="407"/>
    </row>
    <row r="8" spans="1:14" ht="15">
      <c r="A8" s="341">
        <f>'DA 4 b'!A6</f>
        <v>1</v>
      </c>
      <c r="B8" s="334" t="str">
        <f>'DA 4 b'!B6</f>
        <v>Xã Hương Sơn</v>
      </c>
      <c r="C8" s="338">
        <f>'DA 4 b'!L6</f>
        <v>482.64142157362494</v>
      </c>
      <c r="D8" s="338">
        <f>'DA 4 b'!M6</f>
        <v>434.37727941626247</v>
      </c>
      <c r="E8" s="338">
        <v>434</v>
      </c>
      <c r="F8" s="338"/>
      <c r="G8" s="338"/>
      <c r="H8" s="338">
        <v>50</v>
      </c>
      <c r="I8" s="444">
        <f>SUM(E8:H8)</f>
        <v>484</v>
      </c>
      <c r="J8" s="338"/>
      <c r="K8" s="407"/>
      <c r="L8" s="407" t="s">
        <v>604</v>
      </c>
      <c r="M8" s="407"/>
      <c r="N8">
        <v>488</v>
      </c>
    </row>
    <row r="9" spans="1:14" s="1" customFormat="1" ht="15">
      <c r="A9" s="377" t="str">
        <f>'DA 4 b'!A7</f>
        <v>II</v>
      </c>
      <c r="B9" s="332" t="str">
        <f>'DA 4 b'!B7</f>
        <v>HUYỆN SƠN ĐỘNG</v>
      </c>
      <c r="C9" s="444">
        <f>'DA 4 b'!L7</f>
        <v>26499.49472387389</v>
      </c>
      <c r="D9" s="444">
        <f>'DA 4 b'!M7</f>
        <v>23849.545251486503</v>
      </c>
      <c r="E9" s="444">
        <f>SUM(E10:E26)</f>
        <v>23850</v>
      </c>
      <c r="F9" s="444"/>
      <c r="G9" s="444"/>
      <c r="H9" s="444"/>
      <c r="I9" s="444">
        <f>SUM(I10:I26)</f>
        <v>26131</v>
      </c>
      <c r="J9" s="444">
        <f>'DA 4 b'!N7</f>
        <v>2649.949472387389</v>
      </c>
      <c r="K9" s="407"/>
      <c r="L9" s="407"/>
      <c r="M9" s="407"/>
      <c r="N9" s="407">
        <f>D9+J9</f>
        <v>26499.494723873893</v>
      </c>
    </row>
    <row r="10" spans="1:16" ht="15">
      <c r="A10" s="341">
        <f>'DA 4 b'!A8</f>
        <v>1</v>
      </c>
      <c r="B10" s="334" t="str">
        <f>'DA 4 b'!B8</f>
        <v>Thị trấn An Châu</v>
      </c>
      <c r="C10" s="338"/>
      <c r="D10" s="338">
        <f>'DA 4 b'!M8</f>
        <v>912.1922867741512</v>
      </c>
      <c r="E10" s="338">
        <v>912</v>
      </c>
      <c r="F10" s="338"/>
      <c r="G10" s="338"/>
      <c r="H10" s="338"/>
      <c r="I10" s="454">
        <f>SUM(E10:H10)</f>
        <v>912</v>
      </c>
      <c r="J10" s="338"/>
      <c r="K10" s="407"/>
      <c r="L10" s="407"/>
      <c r="M10" s="407"/>
      <c r="P10" s="338">
        <f>'DA 4 b'!Y8</f>
        <v>0</v>
      </c>
    </row>
    <row r="11" spans="1:16" ht="15">
      <c r="A11" s="341">
        <f>'DA 4 b'!A9</f>
        <v>2</v>
      </c>
      <c r="B11" s="334" t="str">
        <f>'DA 4 b'!B9</f>
        <v>Xã Long Sơn</v>
      </c>
      <c r="C11" s="338"/>
      <c r="D11" s="338">
        <f>'DA 4 b'!M9</f>
        <v>651.5659191243936</v>
      </c>
      <c r="E11" s="338">
        <v>652</v>
      </c>
      <c r="F11" s="338"/>
      <c r="G11" s="338"/>
      <c r="H11" s="338"/>
      <c r="I11" s="454">
        <f aca="true" t="shared" si="0" ref="I11:I26">SUM(E11:H11)</f>
        <v>652</v>
      </c>
      <c r="J11" s="338"/>
      <c r="K11" s="407"/>
      <c r="L11" s="407"/>
      <c r="M11" s="407"/>
      <c r="P11" s="338">
        <f>'DA 4 b'!Y9</f>
        <v>0</v>
      </c>
    </row>
    <row r="12" spans="1:16" ht="15">
      <c r="A12" s="341">
        <f>'DA 4 b'!A10</f>
        <v>3</v>
      </c>
      <c r="B12" s="334" t="str">
        <f>'DA 4 b'!B10</f>
        <v>Xã Tuấn Đạo</v>
      </c>
      <c r="C12" s="338"/>
      <c r="D12" s="338">
        <f>'DA 4 b'!M10</f>
        <v>912.1922867741512</v>
      </c>
      <c r="E12" s="338">
        <v>912</v>
      </c>
      <c r="F12" s="338"/>
      <c r="G12" s="338"/>
      <c r="H12" s="338"/>
      <c r="I12" s="454">
        <f t="shared" si="0"/>
        <v>912</v>
      </c>
      <c r="J12" s="338"/>
      <c r="K12" s="407"/>
      <c r="L12" s="407"/>
      <c r="M12" s="407"/>
      <c r="P12" s="338">
        <f>'DA 4 b'!Y10</f>
        <v>0</v>
      </c>
    </row>
    <row r="13" spans="1:16" ht="15">
      <c r="A13" s="341">
        <f>'DA 4 b'!A11</f>
        <v>4</v>
      </c>
      <c r="B13" s="334" t="str">
        <f>'DA 4 b'!B11</f>
        <v>TT.Tây Yên Tử</v>
      </c>
      <c r="C13" s="338"/>
      <c r="D13" s="338">
        <f>'DA 4 b'!M11</f>
        <v>1504.0145715961153</v>
      </c>
      <c r="E13" s="338">
        <v>1504</v>
      </c>
      <c r="F13" s="338"/>
      <c r="G13" s="338"/>
      <c r="H13" s="338"/>
      <c r="I13" s="454">
        <f t="shared" si="0"/>
        <v>1504</v>
      </c>
      <c r="J13" s="338"/>
      <c r="K13" s="407"/>
      <c r="L13" s="407"/>
      <c r="M13" s="407"/>
      <c r="P13" s="338">
        <f>'DA 4 b'!Y11</f>
        <v>0</v>
      </c>
    </row>
    <row r="14" spans="1:16" ht="15">
      <c r="A14" s="341">
        <f>'DA 4 b'!A12</f>
        <v>5</v>
      </c>
      <c r="B14" s="334" t="str">
        <f>'DA 4 b'!B12</f>
        <v>Xã Dương Hưu</v>
      </c>
      <c r="C14" s="338"/>
      <c r="D14" s="326">
        <f>'DA 4 b'!M12</f>
        <v>1489.2280999646737</v>
      </c>
      <c r="E14" s="326">
        <v>1489</v>
      </c>
      <c r="F14" s="326">
        <v>761</v>
      </c>
      <c r="G14" s="326"/>
      <c r="H14" s="326"/>
      <c r="I14" s="454">
        <f t="shared" si="0"/>
        <v>2250</v>
      </c>
      <c r="J14" s="338"/>
      <c r="K14" s="407"/>
      <c r="L14" s="407" t="s">
        <v>602</v>
      </c>
      <c r="M14" s="407"/>
      <c r="P14" s="326">
        <f>'DA 4 b'!Y12</f>
        <v>0</v>
      </c>
    </row>
    <row r="15" spans="1:16" ht="15">
      <c r="A15" s="341">
        <f>'DA 4 b'!A13</f>
        <v>6</v>
      </c>
      <c r="B15" s="334" t="str">
        <f>'DA 4 b'!B13</f>
        <v>Xã Hữu Sản</v>
      </c>
      <c r="C15" s="338"/>
      <c r="D15" s="338">
        <f>'DA 4 b'!M13</f>
        <v>1515.2171383353614</v>
      </c>
      <c r="E15" s="338">
        <v>1515</v>
      </c>
      <c r="F15" s="338"/>
      <c r="G15" s="338"/>
      <c r="H15" s="338"/>
      <c r="I15" s="454">
        <f t="shared" si="0"/>
        <v>1515</v>
      </c>
      <c r="J15" s="338"/>
      <c r="K15" s="407"/>
      <c r="L15" s="407"/>
      <c r="M15" s="407"/>
      <c r="P15" s="338">
        <f>'DA 4 b'!Y13</f>
        <v>0</v>
      </c>
    </row>
    <row r="16" spans="1:16" ht="15">
      <c r="A16" s="341">
        <f>'DA 4 b'!A14</f>
        <v>7</v>
      </c>
      <c r="B16" s="334" t="str">
        <f>'DA 4 b'!B14</f>
        <v>Xã An Lạc</v>
      </c>
      <c r="C16" s="338"/>
      <c r="D16" s="338">
        <f>'DA 4 b'!M14</f>
        <v>1578.6806906676068</v>
      </c>
      <c r="E16" s="338">
        <v>1579</v>
      </c>
      <c r="F16" s="338"/>
      <c r="G16" s="338"/>
      <c r="H16" s="338"/>
      <c r="I16" s="454">
        <f t="shared" si="0"/>
        <v>1579</v>
      </c>
      <c r="J16" s="338"/>
      <c r="K16" s="407"/>
      <c r="L16" s="407"/>
      <c r="M16" s="407"/>
      <c r="P16" s="338">
        <f>'DA 4 b'!Y14</f>
        <v>0</v>
      </c>
    </row>
    <row r="17" spans="1:16" ht="15">
      <c r="A17" s="341">
        <f>'DA 4 b'!A15</f>
        <v>8</v>
      </c>
      <c r="B17" s="334" t="str">
        <f>'DA 4 b'!B15</f>
        <v>Xã Vân Sơn</v>
      </c>
      <c r="C17" s="338"/>
      <c r="D17" s="338">
        <f>'DA 4 b'!M15</f>
        <v>1502.8734402329528</v>
      </c>
      <c r="E17" s="338">
        <v>1503</v>
      </c>
      <c r="F17" s="338"/>
      <c r="G17" s="338"/>
      <c r="H17" s="338"/>
      <c r="I17" s="454">
        <f t="shared" si="0"/>
        <v>1503</v>
      </c>
      <c r="J17" s="338"/>
      <c r="K17" s="407"/>
      <c r="L17" s="407"/>
      <c r="M17" s="407"/>
      <c r="P17" s="338">
        <f>'DA 4 b'!Y15</f>
        <v>0</v>
      </c>
    </row>
    <row r="18" spans="1:16" ht="15">
      <c r="A18" s="341">
        <f>'DA 4 b'!A16</f>
        <v>9</v>
      </c>
      <c r="B18" s="334" t="str">
        <f>'DA 4 b'!B16</f>
        <v>Xã Lệ Viễn</v>
      </c>
      <c r="C18" s="338"/>
      <c r="D18" s="338">
        <f>'DA 4 b'!M16</f>
        <v>1521.2161012134468</v>
      </c>
      <c r="E18" s="338">
        <v>1521</v>
      </c>
      <c r="F18" s="338"/>
      <c r="G18" s="338"/>
      <c r="H18" s="338"/>
      <c r="I18" s="454">
        <f t="shared" si="0"/>
        <v>1521</v>
      </c>
      <c r="J18" s="338"/>
      <c r="K18" s="407"/>
      <c r="L18" s="407"/>
      <c r="M18" s="407"/>
      <c r="P18" s="338">
        <f>'DA 4 b'!Y16</f>
        <v>0</v>
      </c>
    </row>
    <row r="19" spans="1:16" ht="15">
      <c r="A19" s="341">
        <f>'DA 4 b'!A17</f>
        <v>10</v>
      </c>
      <c r="B19" s="334" t="str">
        <f>'DA 4 b'!B17</f>
        <v>Xã Vĩnh An</v>
      </c>
      <c r="C19" s="338"/>
      <c r="D19" s="338">
        <f>'DA 4 b'!M17</f>
        <v>1547.7870374894915</v>
      </c>
      <c r="E19" s="338">
        <v>1548</v>
      </c>
      <c r="F19" s="338"/>
      <c r="G19" s="338"/>
      <c r="H19" s="338"/>
      <c r="I19" s="454">
        <f t="shared" si="0"/>
        <v>1548</v>
      </c>
      <c r="J19" s="338"/>
      <c r="K19" s="407"/>
      <c r="L19" s="407"/>
      <c r="M19" s="407"/>
      <c r="P19" s="338">
        <f>'DA 4 b'!Y17</f>
        <v>0</v>
      </c>
    </row>
    <row r="20" spans="1:16" ht="15">
      <c r="A20" s="341">
        <f>'DA 4 b'!A18</f>
        <v>11</v>
      </c>
      <c r="B20" s="334" t="str">
        <f>'DA 4 b'!B18</f>
        <v>Xã An Bá</v>
      </c>
      <c r="C20" s="338"/>
      <c r="D20" s="338">
        <f>'DA 4 b'!M18</f>
        <v>1517.9273390994276</v>
      </c>
      <c r="E20" s="338">
        <v>1518</v>
      </c>
      <c r="F20" s="338"/>
      <c r="G20" s="338"/>
      <c r="H20" s="338"/>
      <c r="I20" s="454">
        <f t="shared" si="0"/>
        <v>1518</v>
      </c>
      <c r="J20" s="338"/>
      <c r="K20" s="407"/>
      <c r="L20" s="407"/>
      <c r="M20" s="407"/>
      <c r="P20" s="338">
        <f>'DA 4 b'!Y18</f>
        <v>0</v>
      </c>
    </row>
    <row r="21" spans="1:16" ht="15">
      <c r="A21" s="341">
        <f>'DA 4 b'!A19</f>
        <v>12</v>
      </c>
      <c r="B21" s="334" t="str">
        <f>'DA 4 b'!B19</f>
        <v>Xã Yên Định</v>
      </c>
      <c r="C21" s="338"/>
      <c r="D21" s="338">
        <f>'DA 4 b'!M19</f>
        <v>1525.1681539092879</v>
      </c>
      <c r="E21" s="338">
        <v>1525</v>
      </c>
      <c r="F21" s="338"/>
      <c r="G21" s="338"/>
      <c r="H21" s="338"/>
      <c r="I21" s="454">
        <f t="shared" si="0"/>
        <v>1525</v>
      </c>
      <c r="J21" s="338"/>
      <c r="K21" s="407"/>
      <c r="L21" s="407"/>
      <c r="M21" s="407"/>
      <c r="P21" s="338">
        <f>'DA 4 b'!Y19</f>
        <v>0</v>
      </c>
    </row>
    <row r="22" spans="1:16" ht="15">
      <c r="A22" s="341">
        <f>'DA 4 b'!A20</f>
        <v>13</v>
      </c>
      <c r="B22" s="334" t="str">
        <f>'DA 4 b'!B20</f>
        <v>Xã Cẩm Đàn</v>
      </c>
      <c r="C22" s="338"/>
      <c r="D22" s="326">
        <f>'DA 4 b'!M20</f>
        <v>1563.1953587596834</v>
      </c>
      <c r="E22" s="326">
        <v>1563</v>
      </c>
      <c r="F22" s="326"/>
      <c r="G22" s="326">
        <v>760</v>
      </c>
      <c r="H22" s="326"/>
      <c r="I22" s="454">
        <f t="shared" si="0"/>
        <v>2323</v>
      </c>
      <c r="J22" s="338"/>
      <c r="K22" s="407"/>
      <c r="L22" s="407" t="s">
        <v>603</v>
      </c>
      <c r="M22" s="407"/>
      <c r="P22" s="326">
        <f>'DA 4 b'!Y20</f>
        <v>0</v>
      </c>
    </row>
    <row r="23" spans="1:16" ht="15">
      <c r="A23" s="341">
        <f>'DA 4 b'!A21</f>
        <v>14</v>
      </c>
      <c r="B23" s="334" t="str">
        <f>'DA 4 b'!B21</f>
        <v>Xã Thanh Luận</v>
      </c>
      <c r="C23" s="338"/>
      <c r="D23" s="338">
        <f>'DA 4 b'!M21</f>
        <v>1506.0446474030934</v>
      </c>
      <c r="E23" s="338">
        <v>1506</v>
      </c>
      <c r="F23" s="338"/>
      <c r="G23" s="338"/>
      <c r="H23" s="338"/>
      <c r="I23" s="454">
        <f t="shared" si="0"/>
        <v>1506</v>
      </c>
      <c r="J23" s="338"/>
      <c r="K23" s="407"/>
      <c r="L23" s="407"/>
      <c r="M23" s="407"/>
      <c r="P23" s="338">
        <f>'DA 4 b'!Y21</f>
        <v>0</v>
      </c>
    </row>
    <row r="24" spans="1:16" ht="15">
      <c r="A24" s="341">
        <f>'DA 4 b'!A22</f>
        <v>15</v>
      </c>
      <c r="B24" s="334" t="str">
        <f>'DA 4 b'!B22</f>
        <v>Xã Đại Sơn </v>
      </c>
      <c r="C24" s="338"/>
      <c r="D24" s="326">
        <f>'DA 4 b'!M22</f>
        <v>1519.2947819509607</v>
      </c>
      <c r="E24" s="326">
        <v>1519</v>
      </c>
      <c r="F24" s="326"/>
      <c r="G24" s="326">
        <v>760</v>
      </c>
      <c r="H24" s="326"/>
      <c r="I24" s="454">
        <f t="shared" si="0"/>
        <v>2279</v>
      </c>
      <c r="J24" s="338"/>
      <c r="K24" s="407"/>
      <c r="L24" s="407" t="s">
        <v>603</v>
      </c>
      <c r="M24" s="407"/>
      <c r="P24" s="326">
        <f>'DA 4 b'!Y22</f>
        <v>0</v>
      </c>
    </row>
    <row r="25" spans="1:16" ht="15">
      <c r="A25" s="341">
        <f>'DA 4 b'!A23</f>
        <v>16</v>
      </c>
      <c r="B25" s="334" t="str">
        <f>'DA 4 b'!B23</f>
        <v>Xã Phúc Sơn</v>
      </c>
      <c r="C25" s="338"/>
      <c r="D25" s="338">
        <f>'DA 4 b'!M23</f>
        <v>1558.5162100282246</v>
      </c>
      <c r="E25" s="338">
        <v>1559</v>
      </c>
      <c r="F25" s="338"/>
      <c r="G25" s="338"/>
      <c r="H25" s="338"/>
      <c r="I25" s="454">
        <f t="shared" si="0"/>
        <v>1559</v>
      </c>
      <c r="J25" s="338"/>
      <c r="K25" s="407"/>
      <c r="L25" s="407"/>
      <c r="M25" s="407"/>
      <c r="P25" s="338">
        <f>'DA 4 b'!Y23</f>
        <v>0</v>
      </c>
    </row>
    <row r="26" spans="1:16" ht="15">
      <c r="A26" s="341">
        <f>'DA 4 b'!A24</f>
        <v>17</v>
      </c>
      <c r="B26" s="334" t="str">
        <f>'DA 4 b'!B24</f>
        <v>Xã Giáo Liêm</v>
      </c>
      <c r="C26" s="338"/>
      <c r="D26" s="338">
        <f>'DA 4 b'!M24</f>
        <v>1524.4311881634771</v>
      </c>
      <c r="E26" s="338">
        <v>1525</v>
      </c>
      <c r="F26" s="338"/>
      <c r="G26" s="338"/>
      <c r="H26" s="338"/>
      <c r="I26" s="454">
        <f t="shared" si="0"/>
        <v>1525</v>
      </c>
      <c r="J26" s="338"/>
      <c r="K26" s="407"/>
      <c r="L26" s="407"/>
      <c r="M26" s="407"/>
      <c r="P26" s="338">
        <f>'DA 4 b'!Y24</f>
        <v>0</v>
      </c>
    </row>
    <row r="27" spans="1:14" s="1" customFormat="1" ht="15">
      <c r="A27" s="377" t="str">
        <f>'DA 4 b'!A25</f>
        <v>III</v>
      </c>
      <c r="B27" s="332" t="str">
        <f>'DA 4 b'!B25</f>
        <v> HUYỆN LỤC NGẠN</v>
      </c>
      <c r="C27" s="444">
        <f>'DA 4 b'!L25</f>
        <v>17836.925576611706</v>
      </c>
      <c r="D27" s="444">
        <f>'DA 4 b'!M25</f>
        <v>16053.233018950536</v>
      </c>
      <c r="E27" s="444">
        <f>SUM(E28:E42)</f>
        <v>16053</v>
      </c>
      <c r="F27" s="444"/>
      <c r="G27" s="444"/>
      <c r="H27" s="444"/>
      <c r="I27" s="444">
        <f>SUM(I28:I42)</f>
        <v>18598</v>
      </c>
      <c r="J27" s="444">
        <f>'DA 4 b'!N25</f>
        <v>1783.6925576611707</v>
      </c>
      <c r="K27" s="407"/>
      <c r="L27" s="407"/>
      <c r="M27" s="407"/>
      <c r="N27" s="407">
        <f>D27+J27</f>
        <v>17836.925576611706</v>
      </c>
    </row>
    <row r="28" spans="1:13" ht="15">
      <c r="A28" s="341">
        <f>'DA 4 b'!A26</f>
        <v>1</v>
      </c>
      <c r="B28" s="334" t="str">
        <f>'DA 4 b'!B26</f>
        <v>Xã Sa Lý</v>
      </c>
      <c r="C28" s="338"/>
      <c r="D28" s="338">
        <f>'DA 4 b'!M26</f>
        <v>1460.1472568200768</v>
      </c>
      <c r="E28" s="338">
        <v>1460</v>
      </c>
      <c r="F28" s="338"/>
      <c r="G28" s="338"/>
      <c r="H28" s="338"/>
      <c r="I28" s="454">
        <f>SUM(E28:H28)</f>
        <v>1460</v>
      </c>
      <c r="J28" s="338"/>
      <c r="K28" s="407"/>
      <c r="L28" s="407"/>
      <c r="M28" s="407"/>
    </row>
    <row r="29" spans="1:13" ht="15">
      <c r="A29" s="341">
        <f>'DA 4 b'!A27</f>
        <v>2</v>
      </c>
      <c r="B29" s="338" t="str">
        <f>'DA 4 b'!B27</f>
        <v>Xã Phong Minh</v>
      </c>
      <c r="C29" s="338"/>
      <c r="D29" s="338">
        <f>'DA 4 b'!M27</f>
        <v>1473.9827287934452</v>
      </c>
      <c r="E29" s="338">
        <v>1474</v>
      </c>
      <c r="F29" s="338"/>
      <c r="G29" s="338"/>
      <c r="H29" s="338"/>
      <c r="I29" s="454">
        <f aca="true" t="shared" si="1" ref="I29:I42">SUM(E29:H29)</f>
        <v>1474</v>
      </c>
      <c r="J29" s="338"/>
      <c r="K29" s="407"/>
      <c r="L29" s="407"/>
      <c r="M29" s="407"/>
    </row>
    <row r="30" spans="1:13" ht="15">
      <c r="A30" s="341">
        <f>'DA 4 b'!A28</f>
        <v>3</v>
      </c>
      <c r="B30" s="334" t="str">
        <f>'DA 4 b'!B28</f>
        <v>Xã Phong Vân</v>
      </c>
      <c r="C30" s="338"/>
      <c r="D30" s="338">
        <f>'DA 4 b'!M28</f>
        <v>1511.21954890886</v>
      </c>
      <c r="E30" s="338">
        <v>1511</v>
      </c>
      <c r="F30" s="338"/>
      <c r="G30" s="338"/>
      <c r="H30" s="338"/>
      <c r="I30" s="454">
        <f t="shared" si="1"/>
        <v>1511</v>
      </c>
      <c r="J30" s="338"/>
      <c r="K30" s="407"/>
      <c r="L30" s="407"/>
      <c r="M30" s="407"/>
    </row>
    <row r="31" spans="1:13" ht="15">
      <c r="A31" s="341">
        <f>'DA 4 b'!A29</f>
        <v>4</v>
      </c>
      <c r="B31" s="334" t="str">
        <f>'DA 4 b'!B29</f>
        <v>Xã Tân Sơn </v>
      </c>
      <c r="C31" s="338"/>
      <c r="D31" s="326">
        <f>'DA 4 b'!M29</f>
        <v>1484.4029768165558</v>
      </c>
      <c r="E31" s="326">
        <v>1484</v>
      </c>
      <c r="F31" s="326"/>
      <c r="G31" s="326"/>
      <c r="H31" s="326">
        <v>1784</v>
      </c>
      <c r="I31" s="454">
        <f t="shared" si="1"/>
        <v>3268</v>
      </c>
      <c r="J31" s="338"/>
      <c r="K31" s="407"/>
      <c r="L31" s="407" t="s">
        <v>604</v>
      </c>
      <c r="M31" s="407"/>
    </row>
    <row r="32" spans="1:13" ht="15">
      <c r="A32" s="341">
        <f>'DA 4 b'!A30</f>
        <v>5</v>
      </c>
      <c r="B32" s="334" t="str">
        <f>'DA 4 b'!B30</f>
        <v>Xã Cấm Sơn</v>
      </c>
      <c r="C32" s="338"/>
      <c r="D32" s="326">
        <f>'DA 4 b'!M30</f>
        <v>1460.989966529174</v>
      </c>
      <c r="E32" s="326">
        <v>1461</v>
      </c>
      <c r="F32" s="326">
        <v>761</v>
      </c>
      <c r="G32" s="326"/>
      <c r="H32" s="326"/>
      <c r="I32" s="454">
        <f t="shared" si="1"/>
        <v>2222</v>
      </c>
      <c r="J32" s="338"/>
      <c r="K32" s="407"/>
      <c r="L32" s="407" t="s">
        <v>602</v>
      </c>
      <c r="M32" s="407"/>
    </row>
    <row r="33" spans="1:13" ht="15">
      <c r="A33" s="341">
        <f>'DA 4 b'!A31</f>
        <v>6</v>
      </c>
      <c r="B33" s="334" t="str">
        <f>'DA 4 b'!B31</f>
        <v>Xã Hộ Đáp</v>
      </c>
      <c r="C33" s="338"/>
      <c r="D33" s="338">
        <f>'DA 4 b'!M31</f>
        <v>1485.7557849453694</v>
      </c>
      <c r="E33" s="338">
        <v>1486</v>
      </c>
      <c r="F33" s="338"/>
      <c r="G33" s="338"/>
      <c r="H33" s="338"/>
      <c r="I33" s="454">
        <f t="shared" si="1"/>
        <v>1486</v>
      </c>
      <c r="J33" s="338"/>
      <c r="K33" s="407"/>
      <c r="L33" s="407"/>
      <c r="M33" s="407"/>
    </row>
    <row r="34" spans="1:13" ht="15">
      <c r="A34" s="341">
        <f>'DA 4 b'!A32</f>
        <v>7</v>
      </c>
      <c r="B34" s="334" t="str">
        <f>'DA 4 b'!B32</f>
        <v>Xã Sơn Hải</v>
      </c>
      <c r="C34" s="338"/>
      <c r="D34" s="338">
        <f>'DA 4 b'!M32</f>
        <v>1474.6417256319153</v>
      </c>
      <c r="E34" s="338">
        <v>1475</v>
      </c>
      <c r="F34" s="338"/>
      <c r="G34" s="338"/>
      <c r="H34" s="338"/>
      <c r="I34" s="454">
        <f t="shared" si="1"/>
        <v>1475</v>
      </c>
      <c r="J34" s="338"/>
      <c r="K34" s="407"/>
      <c r="L34" s="407"/>
      <c r="M34" s="407"/>
    </row>
    <row r="35" spans="1:13" ht="15">
      <c r="A35" s="341">
        <f>'DA 4 b'!A33</f>
        <v>8</v>
      </c>
      <c r="B35" s="334" t="str">
        <f>'DA 4 b'!B33</f>
        <v>Xã Phú Nhuận</v>
      </c>
      <c r="C35" s="338"/>
      <c r="D35" s="338">
        <f>'DA 4 b'!M33</f>
        <v>1537.6262394266028</v>
      </c>
      <c r="E35" s="338">
        <v>1538</v>
      </c>
      <c r="F35" s="338"/>
      <c r="G35" s="338"/>
      <c r="H35" s="338"/>
      <c r="I35" s="454">
        <f t="shared" si="1"/>
        <v>1538</v>
      </c>
      <c r="J35" s="338"/>
      <c r="K35" s="407"/>
      <c r="L35" s="407"/>
      <c r="M35" s="407"/>
    </row>
    <row r="36" spans="1:13" ht="15">
      <c r="A36" s="341">
        <f>'DA 4 b'!A34</f>
        <v>9</v>
      </c>
      <c r="B36" s="334" t="str">
        <f>'DA 4 b'!B34</f>
        <v>Xã Đèo Gia </v>
      </c>
      <c r="C36" s="338"/>
      <c r="D36" s="338">
        <f>'DA 4 b'!M34</f>
        <v>1514.7653866393393</v>
      </c>
      <c r="E36" s="338">
        <v>1515</v>
      </c>
      <c r="F36" s="338"/>
      <c r="G36" s="338"/>
      <c r="H36" s="338"/>
      <c r="I36" s="454">
        <f t="shared" si="1"/>
        <v>1515</v>
      </c>
      <c r="J36" s="338"/>
      <c r="K36" s="407"/>
      <c r="L36" s="407"/>
      <c r="M36" s="407"/>
    </row>
    <row r="37" spans="1:13" ht="15">
      <c r="A37" s="341">
        <f>'DA 4 b'!A35</f>
        <v>10</v>
      </c>
      <c r="B37" s="334" t="str">
        <f>'DA 4 b'!B35</f>
        <v>Xã Tân Lập</v>
      </c>
      <c r="C37" s="338"/>
      <c r="D37" s="338">
        <f>'DA 4 b'!M35</f>
        <v>912.1922867741512</v>
      </c>
      <c r="E37" s="338">
        <v>912</v>
      </c>
      <c r="F37" s="338"/>
      <c r="G37" s="338"/>
      <c r="H37" s="338"/>
      <c r="I37" s="454">
        <f t="shared" si="1"/>
        <v>912</v>
      </c>
      <c r="J37" s="338"/>
      <c r="K37" s="407"/>
      <c r="L37" s="407"/>
      <c r="M37" s="407"/>
    </row>
    <row r="38" spans="1:13" ht="15">
      <c r="A38" s="341">
        <f>'DA 4 b'!A36</f>
        <v>11</v>
      </c>
      <c r="B38" s="334" t="str">
        <f>'DA 4 b'!B36</f>
        <v>Xã Kim Sơn </v>
      </c>
      <c r="C38" s="338"/>
      <c r="D38" s="338">
        <f>'DA 4 b'!M36</f>
        <v>434.37727941626247</v>
      </c>
      <c r="E38" s="338">
        <v>434</v>
      </c>
      <c r="F38" s="338"/>
      <c r="G38" s="338"/>
      <c r="H38" s="338"/>
      <c r="I38" s="454">
        <f t="shared" si="1"/>
        <v>434</v>
      </c>
      <c r="J38" s="338"/>
      <c r="K38" s="407"/>
      <c r="L38" s="407"/>
      <c r="M38" s="407"/>
    </row>
    <row r="39" spans="1:13" ht="15">
      <c r="A39" s="341">
        <f>'DA 4 b'!A37</f>
        <v>12</v>
      </c>
      <c r="B39" s="334" t="str">
        <f>'DA 4 b'!B37</f>
        <v>Xã Thanh Hải</v>
      </c>
      <c r="C39" s="338"/>
      <c r="D39" s="338">
        <f>'DA 4 b'!M37</f>
        <v>217.18863970813123</v>
      </c>
      <c r="E39" s="338">
        <v>217</v>
      </c>
      <c r="F39" s="338"/>
      <c r="G39" s="338"/>
      <c r="H39" s="338"/>
      <c r="I39" s="454">
        <f t="shared" si="1"/>
        <v>217</v>
      </c>
      <c r="J39" s="338"/>
      <c r="K39" s="407"/>
      <c r="L39" s="407"/>
      <c r="M39" s="407"/>
    </row>
    <row r="40" spans="1:13" ht="15">
      <c r="A40" s="341">
        <f>'DA 4 b'!A38</f>
        <v>13</v>
      </c>
      <c r="B40" s="334" t="str">
        <f>'DA 4 b'!B38</f>
        <v>Xã Biên Sơn</v>
      </c>
      <c r="C40" s="338"/>
      <c r="D40" s="338">
        <f>'DA 4 b'!M38</f>
        <v>217.18863970813123</v>
      </c>
      <c r="E40" s="338">
        <v>217</v>
      </c>
      <c r="F40" s="338"/>
      <c r="G40" s="338"/>
      <c r="H40" s="338"/>
      <c r="I40" s="454">
        <f t="shared" si="1"/>
        <v>217</v>
      </c>
      <c r="J40" s="338"/>
      <c r="K40" s="407"/>
      <c r="L40" s="407"/>
      <c r="M40" s="407"/>
    </row>
    <row r="41" spans="1:13" ht="15">
      <c r="A41" s="341">
        <f>'DA 4 b'!A39</f>
        <v>14</v>
      </c>
      <c r="B41" s="334" t="str">
        <f>'DA 4 b'!B39</f>
        <v>Xã Tân Hoa</v>
      </c>
      <c r="C41" s="338"/>
      <c r="D41" s="338">
        <f>'DA 4 b'!M39</f>
        <v>651.5659191243936</v>
      </c>
      <c r="E41" s="338">
        <v>652</v>
      </c>
      <c r="F41" s="338"/>
      <c r="G41" s="338"/>
      <c r="H41" s="338"/>
      <c r="I41" s="454">
        <f t="shared" si="1"/>
        <v>652</v>
      </c>
      <c r="J41" s="338"/>
      <c r="K41" s="407"/>
      <c r="L41" s="407"/>
      <c r="M41" s="407"/>
    </row>
    <row r="42" spans="1:13" ht="15">
      <c r="A42" s="341">
        <f>'DA 4 b'!A40</f>
        <v>15</v>
      </c>
      <c r="B42" s="334" t="str">
        <f>'DA 4 b'!B40</f>
        <v>Xã Kiên Thành</v>
      </c>
      <c r="C42" s="338"/>
      <c r="D42" s="338">
        <f>'DA 4 b'!M40</f>
        <v>217.18863970813123</v>
      </c>
      <c r="E42" s="338">
        <v>217</v>
      </c>
      <c r="F42" s="338"/>
      <c r="G42" s="338"/>
      <c r="H42" s="338"/>
      <c r="I42" s="454">
        <f t="shared" si="1"/>
        <v>217</v>
      </c>
      <c r="J42" s="338"/>
      <c r="K42" s="407"/>
      <c r="L42" s="407"/>
      <c r="M42" s="407"/>
    </row>
    <row r="43" spans="1:14" s="72" customFormat="1" ht="15">
      <c r="A43" s="235" t="str">
        <f>'DA 4 b'!A41</f>
        <v>IV</v>
      </c>
      <c r="B43" s="132" t="str">
        <f>'DA 4 b'!B41</f>
        <v>HUYỆN LỤC NAM</v>
      </c>
      <c r="C43" s="255">
        <f>'DA 4 b'!L41</f>
        <v>10043.152574247519</v>
      </c>
      <c r="D43" s="255">
        <f>SUM(D44:D51)</f>
        <v>9038.837316822768</v>
      </c>
      <c r="E43" s="255">
        <f>SUM(E44:E51)</f>
        <v>9039</v>
      </c>
      <c r="F43" s="255"/>
      <c r="G43" s="255"/>
      <c r="H43" s="255"/>
      <c r="I43" s="327">
        <f>SUM(I44:I51)</f>
        <v>12325</v>
      </c>
      <c r="J43" s="255">
        <f>'DA 4 b'!N41</f>
        <v>1004.315257424752</v>
      </c>
      <c r="K43" s="291"/>
      <c r="L43" s="291"/>
      <c r="M43" s="291"/>
      <c r="N43" s="291">
        <f>D43+J43</f>
        <v>10043.15257424752</v>
      </c>
    </row>
    <row r="44" spans="1:13" s="3" customFormat="1" ht="15">
      <c r="A44" s="254">
        <f>'DA 4 b'!A42</f>
        <v>1</v>
      </c>
      <c r="B44" s="242" t="str">
        <f>'DA 4 b'!B42</f>
        <v>Xã Bình Sơn</v>
      </c>
      <c r="C44" s="245"/>
      <c r="D44" s="326">
        <f>'DA 4 b'!M42</f>
        <v>1488.5222586377404</v>
      </c>
      <c r="E44" s="326">
        <v>1488</v>
      </c>
      <c r="F44" s="326">
        <v>761</v>
      </c>
      <c r="G44" s="326"/>
      <c r="H44" s="326"/>
      <c r="I44" s="454">
        <f>SUM(E44:H44)</f>
        <v>2249</v>
      </c>
      <c r="J44" s="245"/>
      <c r="K44" s="291"/>
      <c r="L44" s="407" t="s">
        <v>602</v>
      </c>
      <c r="M44" s="291"/>
    </row>
    <row r="45" spans="1:13" s="3" customFormat="1" ht="15">
      <c r="A45" s="254">
        <f>'DA 4 b'!A43</f>
        <v>2</v>
      </c>
      <c r="B45" s="242" t="str">
        <f>'DA 4 b'!B43</f>
        <v>Xã Lục Sơn</v>
      </c>
      <c r="C45" s="245"/>
      <c r="D45" s="245">
        <f>'DA 4 b'!M43</f>
        <v>1488.3996866716902</v>
      </c>
      <c r="E45" s="245">
        <v>1488</v>
      </c>
      <c r="F45" s="245"/>
      <c r="G45" s="245"/>
      <c r="H45" s="245"/>
      <c r="I45" s="454">
        <f aca="true" t="shared" si="2" ref="I45:I51">SUM(E45:H45)</f>
        <v>1488</v>
      </c>
      <c r="J45" s="245"/>
      <c r="K45" s="291"/>
      <c r="L45" s="291"/>
      <c r="M45" s="291"/>
    </row>
    <row r="46" spans="1:14" s="3" customFormat="1" ht="15">
      <c r="A46" s="254">
        <f>'DA 4 b'!A44</f>
        <v>3</v>
      </c>
      <c r="B46" s="242" t="str">
        <f>'DA 4 b'!B44</f>
        <v>Xã Trường Sơn</v>
      </c>
      <c r="C46" s="245"/>
      <c r="D46" s="245">
        <f>'DA 4 b'!M44</f>
        <v>1478.8422260030454</v>
      </c>
      <c r="E46" s="245">
        <v>1479</v>
      </c>
      <c r="F46" s="245"/>
      <c r="G46" s="245"/>
      <c r="H46" s="245"/>
      <c r="I46" s="454">
        <f t="shared" si="2"/>
        <v>1479</v>
      </c>
      <c r="J46" s="245"/>
      <c r="K46" s="291"/>
      <c r="L46" s="291"/>
      <c r="M46" s="291"/>
      <c r="N46" s="329"/>
    </row>
    <row r="47" spans="1:13" s="3" customFormat="1" ht="15">
      <c r="A47" s="254">
        <f>'DA 4 b'!A45</f>
        <v>4</v>
      </c>
      <c r="B47" s="242" t="str">
        <f>'DA 4 b'!B45</f>
        <v>Xã Vô Tranh</v>
      </c>
      <c r="C47" s="245"/>
      <c r="D47" s="326">
        <f>'DA 4 b'!M45</f>
        <v>1498.994461654828</v>
      </c>
      <c r="E47" s="326">
        <v>1499</v>
      </c>
      <c r="F47" s="326">
        <v>761</v>
      </c>
      <c r="G47" s="326">
        <v>760</v>
      </c>
      <c r="H47" s="326"/>
      <c r="I47" s="454">
        <f t="shared" si="2"/>
        <v>3020</v>
      </c>
      <c r="J47" s="245"/>
      <c r="K47" s="291"/>
      <c r="L47" s="407" t="s">
        <v>602</v>
      </c>
      <c r="M47" s="291" t="s">
        <v>603</v>
      </c>
    </row>
    <row r="48" spans="1:13" s="3" customFormat="1" ht="15">
      <c r="A48" s="254">
        <f>'DA 4 b'!A46</f>
        <v>5</v>
      </c>
      <c r="B48" s="242" t="str">
        <f>'DA 4 b'!B46</f>
        <v>Xã Trường Giang</v>
      </c>
      <c r="C48" s="245"/>
      <c r="D48" s="245">
        <f>'DA 4 b'!M46</f>
        <v>651.5659191243936</v>
      </c>
      <c r="E48" s="245">
        <v>652</v>
      </c>
      <c r="F48" s="245"/>
      <c r="G48" s="245"/>
      <c r="H48" s="245"/>
      <c r="I48" s="454">
        <f t="shared" si="2"/>
        <v>652</v>
      </c>
      <c r="J48" s="245"/>
      <c r="K48" s="291"/>
      <c r="L48" s="291"/>
      <c r="M48" s="291"/>
    </row>
    <row r="49" spans="1:13" ht="15">
      <c r="A49" s="341">
        <f>'DA 4 b'!A47</f>
        <v>6</v>
      </c>
      <c r="B49" s="334" t="str">
        <f>'DA 4 b'!B47</f>
        <v>Xã Nghĩa Phương</v>
      </c>
      <c r="C49" s="338"/>
      <c r="D49" s="338">
        <f>'DA 4 b'!M47</f>
        <v>912.1922867741512</v>
      </c>
      <c r="E49" s="338">
        <v>912</v>
      </c>
      <c r="F49" s="338"/>
      <c r="G49" s="338"/>
      <c r="H49" s="338"/>
      <c r="I49" s="454">
        <f t="shared" si="2"/>
        <v>912</v>
      </c>
      <c r="J49" s="338"/>
      <c r="K49" s="407"/>
      <c r="L49" s="407"/>
      <c r="M49" s="407"/>
    </row>
    <row r="50" spans="1:16" ht="15">
      <c r="A50" s="341">
        <f>'DA 4 b'!A48</f>
        <v>11</v>
      </c>
      <c r="B50" s="334" t="str">
        <f>'DA 4 b'!B48</f>
        <v>Xã Tam Dị</v>
      </c>
      <c r="C50" s="338"/>
      <c r="D50" s="326">
        <f>'DA 4 b'!M48</f>
        <v>868.7545588325249</v>
      </c>
      <c r="E50" s="326">
        <v>869</v>
      </c>
      <c r="F50" s="326"/>
      <c r="G50" s="326"/>
      <c r="H50" s="326">
        <v>1004</v>
      </c>
      <c r="I50" s="454">
        <f t="shared" si="2"/>
        <v>1873</v>
      </c>
      <c r="J50" s="338"/>
      <c r="K50" s="407"/>
      <c r="L50" s="407" t="s">
        <v>604</v>
      </c>
      <c r="M50" s="407"/>
      <c r="P50">
        <v>484</v>
      </c>
    </row>
    <row r="51" spans="1:16" ht="15">
      <c r="A51" s="341">
        <f>'DA 4 b'!A49</f>
        <v>12</v>
      </c>
      <c r="B51" s="334" t="str">
        <f>'DA 4 b'!B49</f>
        <v>Xã Bảo Sơn</v>
      </c>
      <c r="C51" s="338"/>
      <c r="D51" s="338">
        <f>'DA 4 b'!M49</f>
        <v>651.5659191243936</v>
      </c>
      <c r="E51" s="338">
        <v>652</v>
      </c>
      <c r="F51" s="338"/>
      <c r="G51" s="338"/>
      <c r="H51" s="338"/>
      <c r="I51" s="454">
        <f t="shared" si="2"/>
        <v>652</v>
      </c>
      <c r="J51" s="338"/>
      <c r="K51" s="407"/>
      <c r="L51" s="407"/>
      <c r="M51" s="407"/>
      <c r="P51">
        <v>26499</v>
      </c>
    </row>
    <row r="52" spans="1:16" s="1" customFormat="1" ht="15">
      <c r="A52" s="377" t="str">
        <f>'DA 4 b'!A50</f>
        <v>V</v>
      </c>
      <c r="B52" s="332" t="str">
        <f>'DA 4 b'!B50</f>
        <v> HUYỆN YÊN THẾ</v>
      </c>
      <c r="C52" s="444">
        <f>'DA 4 b'!L50</f>
        <v>5602.421181389709</v>
      </c>
      <c r="D52" s="444">
        <f>'DA 4 b'!M50</f>
        <v>5042.179063250738</v>
      </c>
      <c r="E52" s="444">
        <f>SUM(E53:E59)</f>
        <v>5041</v>
      </c>
      <c r="F52" s="444"/>
      <c r="G52" s="444"/>
      <c r="H52" s="444"/>
      <c r="I52" s="327">
        <f>SUM(I53:I59)</f>
        <v>6362</v>
      </c>
      <c r="J52" s="444">
        <f>'DA 4 b'!N50</f>
        <v>560.2421181389709</v>
      </c>
      <c r="K52" s="407"/>
      <c r="L52" s="407"/>
      <c r="M52" s="407"/>
      <c r="N52" s="407">
        <f>D52+J52</f>
        <v>5602.421181389709</v>
      </c>
      <c r="P52" s="1">
        <v>17837</v>
      </c>
    </row>
    <row r="53" spans="1:16" ht="15">
      <c r="A53" s="341">
        <f>'DA 4 b'!A51</f>
        <v>1</v>
      </c>
      <c r="B53" s="334" t="str">
        <f>'DA 4 b'!B51</f>
        <v>Xã Đồng Vương</v>
      </c>
      <c r="C53" s="338"/>
      <c r="D53" s="326">
        <f>'DA 4 b'!M51</f>
        <v>1480.2853720373864</v>
      </c>
      <c r="E53" s="326">
        <v>1480</v>
      </c>
      <c r="F53" s="326"/>
      <c r="G53" s="326"/>
      <c r="H53" s="326">
        <v>560</v>
      </c>
      <c r="I53" s="454">
        <f>SUM(E53:H53)</f>
        <v>2040</v>
      </c>
      <c r="J53" s="338"/>
      <c r="K53" s="407"/>
      <c r="L53" s="407" t="s">
        <v>604</v>
      </c>
      <c r="M53" s="407"/>
      <c r="P53">
        <v>10043</v>
      </c>
    </row>
    <row r="54" spans="1:16" ht="15">
      <c r="A54" s="341">
        <f>'DA 4 b'!A52</f>
        <v>2</v>
      </c>
      <c r="B54" s="334" t="str">
        <f>'DA 4 b'!B52</f>
        <v>Xã Đồng Tiến</v>
      </c>
      <c r="C54" s="338"/>
      <c r="D54" s="338">
        <f>'DA 4 b'!M52</f>
        <v>912.1922867741512</v>
      </c>
      <c r="E54" s="338">
        <v>912</v>
      </c>
      <c r="F54" s="338"/>
      <c r="G54" s="338"/>
      <c r="H54" s="338"/>
      <c r="I54" s="454">
        <f aca="true" t="shared" si="3" ref="I54:I59">SUM(E54:H54)</f>
        <v>912</v>
      </c>
      <c r="J54" s="338"/>
      <c r="K54" s="407"/>
      <c r="L54" s="407"/>
      <c r="M54" s="407"/>
      <c r="P54">
        <v>5602</v>
      </c>
    </row>
    <row r="55" spans="1:13" ht="15">
      <c r="A55" s="341">
        <f>'DA 4 b'!A53</f>
        <v>3</v>
      </c>
      <c r="B55" s="334" t="str">
        <f>'DA 4 b'!B53</f>
        <v>Xã Canh Nậu</v>
      </c>
      <c r="C55" s="338"/>
      <c r="D55" s="326">
        <f>'DA 4 b'!M53</f>
        <v>912.1922867741512</v>
      </c>
      <c r="E55" s="326">
        <v>912</v>
      </c>
      <c r="F55" s="326">
        <v>761</v>
      </c>
      <c r="G55" s="326"/>
      <c r="H55" s="326"/>
      <c r="I55" s="454">
        <f t="shared" si="3"/>
        <v>1673</v>
      </c>
      <c r="J55" s="338"/>
      <c r="K55" s="407"/>
      <c r="L55" s="407" t="s">
        <v>602</v>
      </c>
      <c r="M55" s="407"/>
    </row>
    <row r="56" spans="1:16" ht="15">
      <c r="A56" s="341">
        <f>'DA 4 b'!A54</f>
        <v>4</v>
      </c>
      <c r="B56" s="334" t="str">
        <f>'DA 4 b'!B54</f>
        <v>Xã Tiến Thắng</v>
      </c>
      <c r="C56" s="338"/>
      <c r="D56" s="338">
        <f>'DA 4 b'!M54</f>
        <v>651.5659191243936</v>
      </c>
      <c r="E56" s="338">
        <v>652</v>
      </c>
      <c r="F56" s="338"/>
      <c r="G56" s="338"/>
      <c r="H56" s="338"/>
      <c r="I56" s="454">
        <f t="shared" si="3"/>
        <v>652</v>
      </c>
      <c r="J56" s="338"/>
      <c r="K56" s="407"/>
      <c r="L56" s="407"/>
      <c r="M56" s="407"/>
      <c r="P56">
        <f>SUM(P50:P55)</f>
        <v>60465</v>
      </c>
    </row>
    <row r="57" spans="1:13" ht="15">
      <c r="A57" s="341">
        <f>'DA 4 b'!A55</f>
        <v>5</v>
      </c>
      <c r="B57" s="334" t="str">
        <f>'DA 4 b'!B55</f>
        <v>Xã Đồng Hưu</v>
      </c>
      <c r="C57" s="338"/>
      <c r="D57" s="338">
        <f>'DA 4 b'!M55</f>
        <v>434.37727941626247</v>
      </c>
      <c r="E57" s="338">
        <v>434</v>
      </c>
      <c r="F57" s="338"/>
      <c r="G57" s="338"/>
      <c r="H57" s="338"/>
      <c r="I57" s="454">
        <f t="shared" si="3"/>
        <v>434</v>
      </c>
      <c r="J57" s="338"/>
      <c r="K57" s="407"/>
      <c r="L57" s="407"/>
      <c r="M57" s="407"/>
    </row>
    <row r="58" spans="1:16" ht="15">
      <c r="A58" s="341">
        <f>'DA 4 b'!A56</f>
        <v>6</v>
      </c>
      <c r="B58" s="334" t="str">
        <f>'DA 4 b'!B56</f>
        <v>Xã Tân Hiệp</v>
      </c>
      <c r="C58" s="338"/>
      <c r="D58" s="338">
        <f>'DA 4 b'!M56</f>
        <v>217.18863970813123</v>
      </c>
      <c r="E58" s="338">
        <v>217</v>
      </c>
      <c r="F58" s="338"/>
      <c r="G58" s="338"/>
      <c r="H58" s="338"/>
      <c r="I58" s="454">
        <f t="shared" si="3"/>
        <v>217</v>
      </c>
      <c r="J58" s="338"/>
      <c r="K58" s="407"/>
      <c r="L58" s="407"/>
      <c r="M58" s="407"/>
      <c r="P58" s="393">
        <f>P56+F64</f>
        <v>66550</v>
      </c>
    </row>
    <row r="59" spans="1:13" ht="15">
      <c r="A59" s="341">
        <f>'DA 4 b'!A57</f>
        <v>7</v>
      </c>
      <c r="B59" s="334" t="str">
        <f>'DA 4 b'!B57</f>
        <v>Xã Đông Sơn</v>
      </c>
      <c r="C59" s="338"/>
      <c r="D59" s="338">
        <f>'DA 4 b'!M57</f>
        <v>434.37727941626247</v>
      </c>
      <c r="E59" s="338">
        <v>434</v>
      </c>
      <c r="F59" s="338"/>
      <c r="G59" s="338"/>
      <c r="H59" s="338"/>
      <c r="I59" s="454">
        <f t="shared" si="3"/>
        <v>434</v>
      </c>
      <c r="J59" s="338"/>
      <c r="K59" s="407"/>
      <c r="L59" s="407"/>
      <c r="M59" s="407"/>
    </row>
    <row r="60" spans="1:13" s="1" customFormat="1" ht="15">
      <c r="A60" s="377"/>
      <c r="B60" s="377" t="str">
        <f>'DA 4 b'!B58</f>
        <v>Tổng cộng</v>
      </c>
      <c r="C60" s="444">
        <f>'DA 4 b'!L58</f>
        <v>60464.63547769644</v>
      </c>
      <c r="D60" s="444">
        <f>'DA 4 b'!M58</f>
        <v>54418.17192992681</v>
      </c>
      <c r="E60" s="444">
        <f>E52+E43+E27+E9+E7</f>
        <v>54417</v>
      </c>
      <c r="F60" s="444">
        <f>SUM(F7:F59)</f>
        <v>3805</v>
      </c>
      <c r="G60" s="444">
        <f>SUM(G7:G59)</f>
        <v>2280</v>
      </c>
      <c r="H60" s="444">
        <f>SUM(H7:H59)</f>
        <v>3398</v>
      </c>
      <c r="I60" s="444">
        <f>I52+I43+I27+I9+I7</f>
        <v>63900</v>
      </c>
      <c r="J60" s="444">
        <f>'DA 4 b'!N58</f>
        <v>6046.463547769645</v>
      </c>
      <c r="K60" s="407"/>
      <c r="L60" s="407">
        <f>SUM(D60:K60)</f>
        <v>188264.63547769646</v>
      </c>
      <c r="M60" s="407"/>
    </row>
    <row r="61" spans="12:16" ht="15">
      <c r="L61">
        <v>6085</v>
      </c>
      <c r="P61" s="393"/>
    </row>
    <row r="62" spans="1:12" ht="44.25" customHeight="1">
      <c r="A62" s="783"/>
      <c r="B62" s="784"/>
      <c r="C62" s="784"/>
      <c r="D62" s="784"/>
      <c r="E62" s="784"/>
      <c r="F62" s="784"/>
      <c r="G62" s="784"/>
      <c r="H62" s="784"/>
      <c r="I62" s="784"/>
      <c r="J62" s="784"/>
      <c r="L62" s="418">
        <f>SUM(L60:L61)</f>
        <v>194349.63547769646</v>
      </c>
    </row>
    <row r="63" spans="4:14" ht="15">
      <c r="D63" s="393"/>
      <c r="E63" s="393"/>
      <c r="N63">
        <f>SUM(N7:N62)</f>
        <v>60469.99405612283</v>
      </c>
    </row>
    <row r="64" spans="2:9" ht="15">
      <c r="B64" s="393">
        <f>D60+F60+G60+J60</f>
        <v>66549.63547769646</v>
      </c>
      <c r="F64" s="393">
        <f>F60+G60</f>
        <v>6085</v>
      </c>
      <c r="H64" s="393"/>
      <c r="I64" s="418">
        <f>I60+J9</f>
        <v>66549.9494723874</v>
      </c>
    </row>
    <row r="66" ht="15">
      <c r="N66">
        <f>N63</f>
        <v>60469.99405612283</v>
      </c>
    </row>
    <row r="67" ht="15">
      <c r="G67" s="393">
        <f>I64-F64</f>
        <v>60464.949472387394</v>
      </c>
    </row>
    <row r="68" ht="15">
      <c r="N68" s="393">
        <f>N66+F64</f>
        <v>66554.99405612283</v>
      </c>
    </row>
  </sheetData>
  <sheetProtection/>
  <mergeCells count="9">
    <mergeCell ref="A1:J1"/>
    <mergeCell ref="A4:A6"/>
    <mergeCell ref="B4:B6"/>
    <mergeCell ref="C4:J4"/>
    <mergeCell ref="A62:J62"/>
    <mergeCell ref="A2:J2"/>
    <mergeCell ref="J5:J6"/>
    <mergeCell ref="D5:D6"/>
    <mergeCell ref="C5:C6"/>
  </mergeCells>
  <printOptions/>
  <pageMargins left="0.7086614173228347" right="0.3937007874015748" top="0.3937007874015748" bottom="0.4724409448818898" header="0.1968503937007874" footer="0.2362204724409449"/>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2:X57"/>
  <sheetViews>
    <sheetView zoomScale="82" zoomScaleNormal="82" zoomScalePageLayoutView="0" workbookViewId="0" topLeftCell="A31">
      <selection activeCell="V29" sqref="V29"/>
    </sheetView>
  </sheetViews>
  <sheetFormatPr defaultColWidth="9.00390625" defaultRowHeight="15.75"/>
  <cols>
    <col min="1" max="1" width="4.125" style="0" customWidth="1"/>
    <col min="2" max="2" width="34.375" style="0" customWidth="1"/>
    <col min="3" max="3" width="11.25390625" style="0" customWidth="1"/>
    <col min="4" max="4" width="10.125" style="0" customWidth="1"/>
    <col min="5" max="5" width="10.00390625" style="0" customWidth="1"/>
    <col min="6" max="6" width="8.75390625" style="0" customWidth="1"/>
    <col min="7" max="7" width="9.50390625" style="0" customWidth="1"/>
    <col min="8" max="8" width="11.25390625" style="0" customWidth="1"/>
    <col min="9" max="9" width="10.50390625" style="0" customWidth="1"/>
    <col min="10" max="10" width="9.375" style="0" customWidth="1"/>
    <col min="11" max="11" width="10.25390625" style="0" customWidth="1"/>
    <col min="12" max="13" width="9.625" style="0" customWidth="1"/>
    <col min="14" max="14" width="10.50390625" style="0" customWidth="1"/>
    <col min="15" max="15" width="8.875" style="0" customWidth="1"/>
    <col min="16" max="17" width="9.25390625" style="0" customWidth="1"/>
    <col min="18" max="18" width="12.00390625" style="0" customWidth="1"/>
    <col min="20" max="20" width="10.125" style="0" customWidth="1"/>
    <col min="21" max="21" width="10.50390625" style="0" customWidth="1"/>
  </cols>
  <sheetData>
    <row r="2" ht="15.75">
      <c r="S2" s="425"/>
    </row>
    <row r="3" ht="15.75">
      <c r="S3" s="425"/>
    </row>
    <row r="4" spans="1:19" ht="20.25">
      <c r="A4" s="786" t="s">
        <v>408</v>
      </c>
      <c r="B4" s="786"/>
      <c r="S4" s="425"/>
    </row>
    <row r="5" spans="1:19" ht="27.75" customHeight="1">
      <c r="A5" s="787" t="s">
        <v>0</v>
      </c>
      <c r="B5" s="787" t="s">
        <v>409</v>
      </c>
      <c r="C5" s="788" t="s">
        <v>287</v>
      </c>
      <c r="D5" s="788"/>
      <c r="E5" s="788"/>
      <c r="F5" s="788" t="s">
        <v>288</v>
      </c>
      <c r="G5" s="788"/>
      <c r="H5" s="788"/>
      <c r="I5" s="788" t="s">
        <v>289</v>
      </c>
      <c r="J5" s="788"/>
      <c r="K5" s="788"/>
      <c r="L5" s="788" t="s">
        <v>290</v>
      </c>
      <c r="M5" s="788"/>
      <c r="N5" s="788"/>
      <c r="O5" s="795" t="s">
        <v>410</v>
      </c>
      <c r="P5" s="796"/>
      <c r="Q5" s="797"/>
      <c r="R5" s="798" t="s">
        <v>140</v>
      </c>
      <c r="S5" s="799"/>
    </row>
    <row r="6" spans="1:19" s="4" customFormat="1" ht="47.25">
      <c r="A6" s="787"/>
      <c r="B6" s="787"/>
      <c r="C6" s="2" t="s">
        <v>411</v>
      </c>
      <c r="D6" s="2" t="s">
        <v>412</v>
      </c>
      <c r="E6" s="2" t="s">
        <v>194</v>
      </c>
      <c r="F6" s="2" t="s">
        <v>411</v>
      </c>
      <c r="G6" s="2" t="s">
        <v>412</v>
      </c>
      <c r="H6" s="2" t="s">
        <v>194</v>
      </c>
      <c r="I6" s="2" t="s">
        <v>411</v>
      </c>
      <c r="J6" s="2" t="s">
        <v>412</v>
      </c>
      <c r="K6" s="2" t="s">
        <v>194</v>
      </c>
      <c r="L6" s="2" t="s">
        <v>411</v>
      </c>
      <c r="M6" s="2" t="s">
        <v>412</v>
      </c>
      <c r="N6" s="2" t="s">
        <v>194</v>
      </c>
      <c r="O6" s="426" t="s">
        <v>411</v>
      </c>
      <c r="P6" s="426" t="s">
        <v>412</v>
      </c>
      <c r="Q6" s="426" t="s">
        <v>194</v>
      </c>
      <c r="R6" s="798"/>
      <c r="S6" s="799"/>
    </row>
    <row r="7" spans="1:21" s="430" customFormat="1" ht="24" customHeight="1">
      <c r="A7" s="427"/>
      <c r="B7" s="427"/>
      <c r="C7" s="427">
        <v>1</v>
      </c>
      <c r="D7" s="427">
        <v>2</v>
      </c>
      <c r="E7" s="427" t="s">
        <v>413</v>
      </c>
      <c r="F7" s="427">
        <v>5</v>
      </c>
      <c r="G7" s="427">
        <v>6</v>
      </c>
      <c r="H7" s="427" t="s">
        <v>414</v>
      </c>
      <c r="I7" s="427">
        <v>9</v>
      </c>
      <c r="J7" s="427">
        <v>10</v>
      </c>
      <c r="K7" s="427" t="s">
        <v>415</v>
      </c>
      <c r="L7" s="427">
        <v>13</v>
      </c>
      <c r="M7" s="427">
        <v>14</v>
      </c>
      <c r="N7" s="427" t="s">
        <v>416</v>
      </c>
      <c r="O7" s="427"/>
      <c r="P7" s="427"/>
      <c r="Q7" s="427"/>
      <c r="R7" s="428" t="s">
        <v>417</v>
      </c>
      <c r="S7" s="429"/>
      <c r="U7" s="469">
        <f>T8/11</f>
        <v>206.06890611541775</v>
      </c>
    </row>
    <row r="8" spans="1:22" s="406" customFormat="1" ht="51.75" customHeight="1">
      <c r="A8" s="433">
        <v>1</v>
      </c>
      <c r="B8" s="434" t="s">
        <v>418</v>
      </c>
      <c r="C8" s="433">
        <v>7</v>
      </c>
      <c r="D8" s="433">
        <v>8</v>
      </c>
      <c r="E8" s="433">
        <f>+C8*D8</f>
        <v>56</v>
      </c>
      <c r="F8" s="433">
        <v>7</v>
      </c>
      <c r="G8" s="433">
        <v>1</v>
      </c>
      <c r="H8" s="433">
        <f>+F8*G8</f>
        <v>7</v>
      </c>
      <c r="I8" s="433">
        <v>7</v>
      </c>
      <c r="J8" s="433"/>
      <c r="K8" s="433">
        <f>+I8*J8</f>
        <v>0</v>
      </c>
      <c r="L8" s="433">
        <v>7</v>
      </c>
      <c r="M8" s="433">
        <v>2</v>
      </c>
      <c r="N8" s="433">
        <f>+L8*M8</f>
        <v>14</v>
      </c>
      <c r="O8" s="433"/>
      <c r="P8" s="433"/>
      <c r="Q8" s="433"/>
      <c r="R8" s="344">
        <f>+E8+H8+K8+N8</f>
        <v>77</v>
      </c>
      <c r="S8" s="458"/>
      <c r="T8" s="406">
        <f>R8*D17</f>
        <v>2266.757967269595</v>
      </c>
      <c r="V8" s="406">
        <f>T8/11</f>
        <v>206.06890611541775</v>
      </c>
    </row>
    <row r="9" spans="1:22" s="406" customFormat="1" ht="51" customHeight="1">
      <c r="A9" s="433">
        <v>2</v>
      </c>
      <c r="B9" s="434" t="s">
        <v>419</v>
      </c>
      <c r="C9" s="433">
        <v>60</v>
      </c>
      <c r="D9" s="433">
        <v>1</v>
      </c>
      <c r="E9" s="433">
        <f>+C9*D9</f>
        <v>60</v>
      </c>
      <c r="F9" s="433">
        <v>60</v>
      </c>
      <c r="G9" s="433">
        <v>1</v>
      </c>
      <c r="H9" s="433">
        <f>+F9*G9</f>
        <v>60</v>
      </c>
      <c r="I9" s="433">
        <v>60</v>
      </c>
      <c r="J9" s="433">
        <v>1</v>
      </c>
      <c r="K9" s="433">
        <f>+I9*J9</f>
        <v>60</v>
      </c>
      <c r="L9" s="433">
        <v>60</v>
      </c>
      <c r="M9" s="433">
        <v>1</v>
      </c>
      <c r="N9" s="433">
        <f>+L9*M9</f>
        <v>60</v>
      </c>
      <c r="O9" s="433"/>
      <c r="P9" s="433"/>
      <c r="Q9" s="433"/>
      <c r="R9" s="344">
        <f>+E9+H9+K9+N9</f>
        <v>240</v>
      </c>
      <c r="S9" s="458"/>
      <c r="T9" s="406">
        <f>R9*D17</f>
        <v>7065.219638242895</v>
      </c>
      <c r="V9" s="406">
        <f>T9/4</f>
        <v>1766.3049095607237</v>
      </c>
    </row>
    <row r="10" spans="1:22" s="406" customFormat="1" ht="67.5" customHeight="1">
      <c r="A10" s="433">
        <v>3</v>
      </c>
      <c r="B10" s="434" t="s">
        <v>420</v>
      </c>
      <c r="C10" s="433">
        <v>2</v>
      </c>
      <c r="D10" s="433">
        <v>15</v>
      </c>
      <c r="E10" s="433">
        <f>+C10*D10</f>
        <v>30</v>
      </c>
      <c r="F10" s="433">
        <v>2</v>
      </c>
      <c r="G10" s="433">
        <v>15</v>
      </c>
      <c r="H10" s="433">
        <f>+F10*G10</f>
        <v>30</v>
      </c>
      <c r="I10" s="433">
        <v>2</v>
      </c>
      <c r="J10" s="433">
        <v>10</v>
      </c>
      <c r="K10" s="433">
        <f>+I10*J10</f>
        <v>20</v>
      </c>
      <c r="L10" s="433">
        <v>2</v>
      </c>
      <c r="M10" s="433">
        <v>10</v>
      </c>
      <c r="N10" s="433">
        <f>+L10*M10</f>
        <v>20</v>
      </c>
      <c r="O10" s="433">
        <v>2</v>
      </c>
      <c r="P10" s="433">
        <v>12</v>
      </c>
      <c r="Q10" s="433">
        <f>O10*P10</f>
        <v>24</v>
      </c>
      <c r="R10" s="344">
        <f>+E10+H10+K10+N10+Q10</f>
        <v>124</v>
      </c>
      <c r="S10" s="458"/>
      <c r="T10" s="406">
        <f>R10*D17</f>
        <v>3650.363479758829</v>
      </c>
      <c r="V10" s="406">
        <f>T10/62</f>
        <v>58.876830318690786</v>
      </c>
    </row>
    <row r="11" spans="1:22" s="4" customFormat="1" ht="87.75" customHeight="1">
      <c r="A11" s="431">
        <v>4</v>
      </c>
      <c r="B11" s="434" t="s">
        <v>421</v>
      </c>
      <c r="C11" s="431">
        <v>60</v>
      </c>
      <c r="D11" s="433">
        <v>1</v>
      </c>
      <c r="E11" s="431">
        <f>+C11*D11</f>
        <v>60</v>
      </c>
      <c r="F11" s="431">
        <v>60</v>
      </c>
      <c r="G11" s="433">
        <v>1</v>
      </c>
      <c r="H11" s="431">
        <f>G11*F11</f>
        <v>60</v>
      </c>
      <c r="I11" s="431">
        <v>60</v>
      </c>
      <c r="J11" s="433">
        <v>0</v>
      </c>
      <c r="K11" s="431">
        <f>+I11*J11</f>
        <v>0</v>
      </c>
      <c r="L11" s="431">
        <v>60</v>
      </c>
      <c r="M11" s="431"/>
      <c r="N11" s="431">
        <f>+L11*M11</f>
        <v>0</v>
      </c>
      <c r="O11" s="431"/>
      <c r="P11" s="431"/>
      <c r="Q11" s="431"/>
      <c r="R11" s="374">
        <f>+E11+H11+K11+N11</f>
        <v>120</v>
      </c>
      <c r="S11" s="432"/>
      <c r="T11" s="406">
        <f>R11*D17</f>
        <v>3532.6098191214473</v>
      </c>
      <c r="V11" s="4">
        <f>T11/2</f>
        <v>1766.3049095607237</v>
      </c>
    </row>
    <row r="12" spans="1:20" s="406" customFormat="1" ht="64.5" customHeight="1">
      <c r="A12" s="433">
        <v>5</v>
      </c>
      <c r="B12" s="434" t="s">
        <v>422</v>
      </c>
      <c r="C12" s="433">
        <v>60</v>
      </c>
      <c r="D12" s="433">
        <v>0</v>
      </c>
      <c r="E12" s="433">
        <f>+C12*D12</f>
        <v>0</v>
      </c>
      <c r="F12" s="433">
        <v>60</v>
      </c>
      <c r="G12" s="433">
        <v>1</v>
      </c>
      <c r="H12" s="433">
        <f>+F12*G12</f>
        <v>60</v>
      </c>
      <c r="I12" s="433">
        <v>60</v>
      </c>
      <c r="J12" s="433">
        <v>2</v>
      </c>
      <c r="K12" s="433">
        <f>+I12*J12</f>
        <v>120</v>
      </c>
      <c r="L12" s="433">
        <v>60</v>
      </c>
      <c r="M12" s="433">
        <v>7</v>
      </c>
      <c r="N12" s="433">
        <f>+L12*M12</f>
        <v>420</v>
      </c>
      <c r="O12" s="433"/>
      <c r="P12" s="433"/>
      <c r="Q12" s="433"/>
      <c r="R12" s="344">
        <f>+E12+H12+K12+N12</f>
        <v>600</v>
      </c>
      <c r="S12" s="458"/>
      <c r="T12" s="406">
        <f>R12*D17</f>
        <v>17663.049095607235</v>
      </c>
    </row>
    <row r="13" spans="1:19" s="373" customFormat="1" ht="36.75" customHeight="1">
      <c r="A13" s="13"/>
      <c r="B13" s="9" t="s">
        <v>423</v>
      </c>
      <c r="C13" s="13"/>
      <c r="D13" s="13"/>
      <c r="E13" s="13">
        <f>SUM(E8:E12)</f>
        <v>206</v>
      </c>
      <c r="F13" s="13"/>
      <c r="G13" s="13"/>
      <c r="H13" s="13">
        <f>SUM(H8:H12)</f>
        <v>217</v>
      </c>
      <c r="I13" s="13"/>
      <c r="J13" s="13"/>
      <c r="K13" s="13">
        <f>SUM(K8:K12)</f>
        <v>200</v>
      </c>
      <c r="L13" s="13"/>
      <c r="M13" s="13"/>
      <c r="N13" s="13">
        <f>SUM(N8:N12)</f>
        <v>514</v>
      </c>
      <c r="O13" s="13"/>
      <c r="P13" s="13"/>
      <c r="Q13" s="13">
        <f>SUM(Q8:Q12)</f>
        <v>24</v>
      </c>
      <c r="R13" s="13">
        <f>SUM(R8:R12)</f>
        <v>1161</v>
      </c>
      <c r="S13" s="435"/>
    </row>
    <row r="14" spans="1:20" s="1" customFormat="1" ht="33.75" customHeight="1">
      <c r="A14" s="332"/>
      <c r="B14" s="436" t="s">
        <v>141</v>
      </c>
      <c r="C14" s="332"/>
      <c r="D14" s="332"/>
      <c r="E14" s="5">
        <f>+E13*$D$17</f>
        <v>6064.313522825151</v>
      </c>
      <c r="F14" s="2"/>
      <c r="G14" s="2"/>
      <c r="H14" s="5">
        <f>+H13*$D$17</f>
        <v>6388.13608957795</v>
      </c>
      <c r="I14" s="2"/>
      <c r="J14" s="2"/>
      <c r="K14" s="5">
        <f>+K13*$D$17</f>
        <v>5887.683031869078</v>
      </c>
      <c r="L14" s="2"/>
      <c r="M14" s="2"/>
      <c r="N14" s="5">
        <f>+N13*$D$17</f>
        <v>15131.345391903533</v>
      </c>
      <c r="O14" s="5"/>
      <c r="P14" s="5"/>
      <c r="Q14" s="5">
        <f>+Q13*$D$17</f>
        <v>706.5219638242894</v>
      </c>
      <c r="R14" s="2">
        <f>+R13*$D$17</f>
        <v>34178</v>
      </c>
      <c r="T14" s="1">
        <f>SUM(T7:T13)</f>
        <v>34178</v>
      </c>
    </row>
    <row r="16" spans="3:4" ht="15.75">
      <c r="C16" s="4" t="s">
        <v>303</v>
      </c>
      <c r="D16" s="4" t="s">
        <v>305</v>
      </c>
    </row>
    <row r="17" spans="2:4" ht="15.75">
      <c r="B17" s="4" t="s">
        <v>141</v>
      </c>
      <c r="C17" s="393">
        <v>34178</v>
      </c>
      <c r="D17">
        <f>+C17/R13</f>
        <v>29.438415159345393</v>
      </c>
    </row>
    <row r="23" spans="1:2" ht="20.25">
      <c r="A23" s="786" t="s">
        <v>424</v>
      </c>
      <c r="B23" s="789"/>
    </row>
    <row r="24" spans="1:21" ht="15.75">
      <c r="A24" s="790" t="s">
        <v>0</v>
      </c>
      <c r="B24" s="787" t="s">
        <v>409</v>
      </c>
      <c r="C24" s="788" t="s">
        <v>287</v>
      </c>
      <c r="D24" s="788"/>
      <c r="E24" s="788"/>
      <c r="F24" s="788" t="s">
        <v>288</v>
      </c>
      <c r="G24" s="788"/>
      <c r="H24" s="788"/>
      <c r="I24" s="788" t="s">
        <v>289</v>
      </c>
      <c r="J24" s="788"/>
      <c r="K24" s="788"/>
      <c r="L24" s="788" t="s">
        <v>290</v>
      </c>
      <c r="M24" s="788"/>
      <c r="N24" s="788"/>
      <c r="O24" s="791" t="s">
        <v>410</v>
      </c>
      <c r="P24" s="792"/>
      <c r="Q24" s="793"/>
      <c r="R24" s="788" t="s">
        <v>425</v>
      </c>
      <c r="S24" s="788"/>
      <c r="T24" s="788"/>
      <c r="U24" s="705" t="s">
        <v>426</v>
      </c>
    </row>
    <row r="25" spans="1:21" ht="47.25">
      <c r="A25" s="790"/>
      <c r="B25" s="787"/>
      <c r="C25" s="2" t="s">
        <v>411</v>
      </c>
      <c r="D25" s="2" t="s">
        <v>412</v>
      </c>
      <c r="E25" s="2" t="s">
        <v>194</v>
      </c>
      <c r="F25" s="2" t="s">
        <v>411</v>
      </c>
      <c r="G25" s="2" t="s">
        <v>412</v>
      </c>
      <c r="H25" s="2" t="s">
        <v>194</v>
      </c>
      <c r="I25" s="2" t="s">
        <v>411</v>
      </c>
      <c r="J25" s="2" t="s">
        <v>412</v>
      </c>
      <c r="K25" s="2" t="s">
        <v>194</v>
      </c>
      <c r="L25" s="2" t="s">
        <v>411</v>
      </c>
      <c r="M25" s="2" t="s">
        <v>412</v>
      </c>
      <c r="N25" s="2" t="s">
        <v>194</v>
      </c>
      <c r="O25" s="426" t="s">
        <v>411</v>
      </c>
      <c r="P25" s="426" t="s">
        <v>412</v>
      </c>
      <c r="Q25" s="426" t="s">
        <v>194</v>
      </c>
      <c r="R25" s="2" t="s">
        <v>427</v>
      </c>
      <c r="S25" s="2" t="s">
        <v>428</v>
      </c>
      <c r="T25" s="2" t="s">
        <v>429</v>
      </c>
      <c r="U25" s="794"/>
    </row>
    <row r="26" spans="1:21" ht="27" customHeight="1" thickBot="1">
      <c r="A26" s="437"/>
      <c r="B26" s="427"/>
      <c r="C26" s="427">
        <v>1</v>
      </c>
      <c r="D26" s="427">
        <v>2</v>
      </c>
      <c r="E26" s="427" t="s">
        <v>413</v>
      </c>
      <c r="F26" s="427">
        <v>5</v>
      </c>
      <c r="G26" s="427">
        <v>6</v>
      </c>
      <c r="H26" s="427" t="s">
        <v>414</v>
      </c>
      <c r="I26" s="427">
        <v>9</v>
      </c>
      <c r="J26" s="427">
        <v>10</v>
      </c>
      <c r="K26" s="427" t="s">
        <v>415</v>
      </c>
      <c r="L26" s="427">
        <v>13</v>
      </c>
      <c r="M26" s="427">
        <v>14</v>
      </c>
      <c r="N26" s="427" t="s">
        <v>416</v>
      </c>
      <c r="O26" s="427"/>
      <c r="P26" s="427"/>
      <c r="Q26" s="427"/>
      <c r="R26" s="428"/>
      <c r="S26" s="428"/>
      <c r="T26" s="334"/>
      <c r="U26" s="334"/>
    </row>
    <row r="27" spans="1:21" s="463" customFormat="1" ht="48.75" customHeight="1" thickBot="1">
      <c r="A27" s="459">
        <v>1</v>
      </c>
      <c r="B27" s="460" t="s">
        <v>430</v>
      </c>
      <c r="C27" s="461">
        <v>50</v>
      </c>
      <c r="D27" s="461">
        <v>0</v>
      </c>
      <c r="E27" s="461">
        <f>+C27*D27</f>
        <v>0</v>
      </c>
      <c r="F27" s="461">
        <v>50</v>
      </c>
      <c r="G27" s="461">
        <v>0</v>
      </c>
      <c r="H27" s="461">
        <f>+F27*G27</f>
        <v>0</v>
      </c>
      <c r="I27" s="461">
        <v>50</v>
      </c>
      <c r="J27" s="461">
        <v>0</v>
      </c>
      <c r="K27" s="461">
        <f>+I27*J27</f>
        <v>0</v>
      </c>
      <c r="L27" s="461">
        <v>50</v>
      </c>
      <c r="M27" s="461">
        <v>0</v>
      </c>
      <c r="N27" s="461">
        <f>+L27*M27</f>
        <v>0</v>
      </c>
      <c r="O27" s="461"/>
      <c r="P27" s="461">
        <v>0</v>
      </c>
      <c r="Q27" s="461"/>
      <c r="R27" s="461">
        <v>50</v>
      </c>
      <c r="S27" s="462"/>
      <c r="T27" s="462">
        <f>+R27*S27</f>
        <v>0</v>
      </c>
      <c r="U27" s="462">
        <f aca="true" t="shared" si="0" ref="U27:U38">+E27+H27+K27+N27+T27</f>
        <v>0</v>
      </c>
    </row>
    <row r="28" spans="1:24" s="533" customFormat="1" ht="90" customHeight="1" thickBot="1">
      <c r="A28" s="529">
        <v>2</v>
      </c>
      <c r="B28" s="530" t="s">
        <v>483</v>
      </c>
      <c r="C28" s="531"/>
      <c r="D28" s="531"/>
      <c r="E28" s="531">
        <f aca="true" t="shared" si="1" ref="E28:E38">+C28*D28</f>
        <v>0</v>
      </c>
      <c r="F28" s="531"/>
      <c r="G28" s="531"/>
      <c r="H28" s="531">
        <f aca="true" t="shared" si="2" ref="H28:H38">+F28*G28</f>
        <v>0</v>
      </c>
      <c r="I28" s="531"/>
      <c r="J28" s="531"/>
      <c r="K28" s="531">
        <f aca="true" t="shared" si="3" ref="K28:K38">+I28*J28</f>
        <v>0</v>
      </c>
      <c r="L28" s="531"/>
      <c r="M28" s="531">
        <v>0</v>
      </c>
      <c r="N28" s="531">
        <f aca="true" t="shared" si="4" ref="N28:N38">+L28*M28</f>
        <v>0</v>
      </c>
      <c r="O28" s="531"/>
      <c r="P28" s="531">
        <v>0</v>
      </c>
      <c r="Q28" s="531"/>
      <c r="R28" s="531">
        <v>10</v>
      </c>
      <c r="S28" s="532">
        <v>2</v>
      </c>
      <c r="T28" s="532">
        <f aca="true" t="shared" si="5" ref="T28:T38">+R28*S28</f>
        <v>20</v>
      </c>
      <c r="U28" s="532">
        <f>+E28+H28+K28+N28+T28</f>
        <v>20</v>
      </c>
      <c r="W28" s="533">
        <f>U28*D43</f>
        <v>136.5374677002584</v>
      </c>
      <c r="X28" s="533">
        <f>W28/4</f>
        <v>34.1343669250646</v>
      </c>
    </row>
    <row r="29" spans="1:24" s="406" customFormat="1" ht="120.75" customHeight="1" thickBot="1">
      <c r="A29" s="438">
        <v>3</v>
      </c>
      <c r="B29" s="434" t="s">
        <v>431</v>
      </c>
      <c r="C29" s="433">
        <v>3.5</v>
      </c>
      <c r="D29" s="433">
        <v>3</v>
      </c>
      <c r="E29" s="433">
        <f t="shared" si="1"/>
        <v>10.5</v>
      </c>
      <c r="F29" s="433">
        <v>3.5</v>
      </c>
      <c r="G29" s="433">
        <v>0</v>
      </c>
      <c r="H29" s="433">
        <f t="shared" si="2"/>
        <v>0</v>
      </c>
      <c r="I29" s="433">
        <v>3.5</v>
      </c>
      <c r="J29" s="433">
        <v>0</v>
      </c>
      <c r="K29" s="433">
        <f t="shared" si="3"/>
        <v>0</v>
      </c>
      <c r="L29" s="433">
        <v>3.5</v>
      </c>
      <c r="M29" s="433">
        <v>0</v>
      </c>
      <c r="N29" s="433">
        <f t="shared" si="4"/>
        <v>0</v>
      </c>
      <c r="O29" s="433">
        <v>3.5</v>
      </c>
      <c r="P29" s="433">
        <v>0</v>
      </c>
      <c r="Q29" s="433">
        <f>P29*O29</f>
        <v>0</v>
      </c>
      <c r="R29" s="433">
        <v>3.5</v>
      </c>
      <c r="S29" s="344"/>
      <c r="T29" s="344">
        <f>+R29*S29</f>
        <v>0</v>
      </c>
      <c r="U29" s="344">
        <f>+E29+H29+K29+N29+Q29+T29</f>
        <v>10.5</v>
      </c>
      <c r="W29" s="406">
        <f>U29*D43</f>
        <v>71.68217054263566</v>
      </c>
      <c r="X29" s="406">
        <f>W29/22</f>
        <v>3.2582804792107116</v>
      </c>
    </row>
    <row r="30" spans="1:24" s="533" customFormat="1" ht="100.5" customHeight="1" thickBot="1">
      <c r="A30" s="529">
        <v>4</v>
      </c>
      <c r="B30" s="530" t="s">
        <v>484</v>
      </c>
      <c r="C30" s="531"/>
      <c r="D30" s="531"/>
      <c r="E30" s="531">
        <f t="shared" si="1"/>
        <v>0</v>
      </c>
      <c r="F30" s="531"/>
      <c r="G30" s="531"/>
      <c r="H30" s="531">
        <f t="shared" si="2"/>
        <v>0</v>
      </c>
      <c r="I30" s="531"/>
      <c r="J30" s="531"/>
      <c r="K30" s="531">
        <f t="shared" si="3"/>
        <v>0</v>
      </c>
      <c r="L30" s="531"/>
      <c r="M30" s="531"/>
      <c r="N30" s="531">
        <f t="shared" si="4"/>
        <v>0</v>
      </c>
      <c r="O30" s="531"/>
      <c r="P30" s="531"/>
      <c r="Q30" s="531"/>
      <c r="R30" s="531">
        <v>0.6</v>
      </c>
      <c r="S30" s="534">
        <v>10</v>
      </c>
      <c r="T30" s="534">
        <f t="shared" si="5"/>
        <v>6</v>
      </c>
      <c r="U30" s="534">
        <f t="shared" si="0"/>
        <v>6</v>
      </c>
      <c r="W30" s="533">
        <f>U30*D43</f>
        <v>40.96124031007752</v>
      </c>
      <c r="X30" s="533">
        <f>W30/4</f>
        <v>10.24031007751938</v>
      </c>
    </row>
    <row r="31" spans="1:24" s="406" customFormat="1" ht="55.5" customHeight="1" thickBot="1">
      <c r="A31" s="438">
        <v>5</v>
      </c>
      <c r="B31" s="434" t="s">
        <v>432</v>
      </c>
      <c r="C31" s="433">
        <v>2</v>
      </c>
      <c r="D31" s="433">
        <v>5</v>
      </c>
      <c r="E31" s="433">
        <f t="shared" si="1"/>
        <v>10</v>
      </c>
      <c r="F31" s="433">
        <v>2</v>
      </c>
      <c r="G31" s="433">
        <v>8</v>
      </c>
      <c r="H31" s="433">
        <f t="shared" si="2"/>
        <v>16</v>
      </c>
      <c r="I31" s="433">
        <v>2</v>
      </c>
      <c r="J31" s="433">
        <v>5</v>
      </c>
      <c r="K31" s="433">
        <f t="shared" si="3"/>
        <v>10</v>
      </c>
      <c r="L31" s="433">
        <v>2</v>
      </c>
      <c r="M31" s="433">
        <v>2</v>
      </c>
      <c r="N31" s="433">
        <f t="shared" si="4"/>
        <v>4</v>
      </c>
      <c r="O31" s="433"/>
      <c r="P31" s="433"/>
      <c r="Q31" s="433"/>
      <c r="R31" s="433">
        <v>2</v>
      </c>
      <c r="S31" s="344"/>
      <c r="T31" s="344">
        <f t="shared" si="5"/>
        <v>0</v>
      </c>
      <c r="U31" s="344">
        <f t="shared" si="0"/>
        <v>40</v>
      </c>
      <c r="W31" s="406">
        <f>U31*D43</f>
        <v>273.0749354005168</v>
      </c>
      <c r="X31" s="406">
        <f>W31/20</f>
        <v>13.653746770025839</v>
      </c>
    </row>
    <row r="32" spans="1:24" s="4" customFormat="1" ht="39.75" customHeight="1" thickBot="1">
      <c r="A32" s="439">
        <v>6</v>
      </c>
      <c r="B32" s="382" t="s">
        <v>433</v>
      </c>
      <c r="C32" s="431">
        <v>0.5</v>
      </c>
      <c r="D32" s="431">
        <v>5</v>
      </c>
      <c r="E32" s="431">
        <f t="shared" si="1"/>
        <v>2.5</v>
      </c>
      <c r="F32" s="431">
        <v>0.5</v>
      </c>
      <c r="G32" s="431">
        <v>5</v>
      </c>
      <c r="H32" s="431">
        <f t="shared" si="2"/>
        <v>2.5</v>
      </c>
      <c r="I32" s="431">
        <v>0.5</v>
      </c>
      <c r="J32" s="431">
        <v>3</v>
      </c>
      <c r="K32" s="431">
        <f t="shared" si="3"/>
        <v>1.5</v>
      </c>
      <c r="L32" s="431">
        <v>0.5</v>
      </c>
      <c r="M32" s="431">
        <v>2</v>
      </c>
      <c r="N32" s="431">
        <f t="shared" si="4"/>
        <v>1</v>
      </c>
      <c r="O32" s="431"/>
      <c r="P32" s="431"/>
      <c r="Q32" s="431"/>
      <c r="R32" s="431">
        <v>0.5</v>
      </c>
      <c r="S32" s="374"/>
      <c r="T32" s="374">
        <f t="shared" si="5"/>
        <v>0</v>
      </c>
      <c r="U32" s="374">
        <f t="shared" si="0"/>
        <v>7.5</v>
      </c>
      <c r="W32" s="4">
        <f>U32*D43</f>
        <v>51.2015503875969</v>
      </c>
      <c r="X32" s="4">
        <f>W32/15</f>
        <v>3.41343669250646</v>
      </c>
    </row>
    <row r="33" spans="1:24" s="468" customFormat="1" ht="102.75" customHeight="1" thickBot="1">
      <c r="A33" s="464">
        <v>7</v>
      </c>
      <c r="B33" s="465" t="s">
        <v>482</v>
      </c>
      <c r="C33" s="466"/>
      <c r="D33" s="467"/>
      <c r="E33" s="466">
        <f t="shared" si="1"/>
        <v>0</v>
      </c>
      <c r="F33" s="466"/>
      <c r="G33" s="467"/>
      <c r="H33" s="466">
        <f t="shared" si="2"/>
        <v>0</v>
      </c>
      <c r="I33" s="466"/>
      <c r="J33" s="467"/>
      <c r="K33" s="466">
        <f t="shared" si="3"/>
        <v>0</v>
      </c>
      <c r="L33" s="466"/>
      <c r="M33" s="467"/>
      <c r="N33" s="466">
        <f t="shared" si="4"/>
        <v>0</v>
      </c>
      <c r="O33" s="466"/>
      <c r="P33" s="466"/>
      <c r="Q33" s="466"/>
      <c r="R33" s="466">
        <v>20</v>
      </c>
      <c r="S33" s="467">
        <v>7</v>
      </c>
      <c r="T33" s="467">
        <f>R33*S33</f>
        <v>140</v>
      </c>
      <c r="U33" s="467">
        <f>+E33+H33+K33+N33+T33</f>
        <v>140</v>
      </c>
      <c r="W33" s="468">
        <f>U33*D43</f>
        <v>955.7622739018088</v>
      </c>
      <c r="X33" s="468">
        <f>W33/7</f>
        <v>136.53746770025842</v>
      </c>
    </row>
    <row r="34" spans="1:24" s="468" customFormat="1" ht="81" customHeight="1" thickBot="1">
      <c r="A34" s="464">
        <v>8</v>
      </c>
      <c r="B34" s="465" t="s">
        <v>485</v>
      </c>
      <c r="C34" s="466"/>
      <c r="D34" s="467"/>
      <c r="E34" s="466">
        <f t="shared" si="1"/>
        <v>0</v>
      </c>
      <c r="F34" s="466"/>
      <c r="G34" s="467"/>
      <c r="H34" s="466">
        <f t="shared" si="2"/>
        <v>0</v>
      </c>
      <c r="I34" s="466"/>
      <c r="J34" s="467"/>
      <c r="K34" s="466">
        <f t="shared" si="3"/>
        <v>0</v>
      </c>
      <c r="L34" s="466"/>
      <c r="M34" s="467"/>
      <c r="N34" s="466">
        <f t="shared" si="4"/>
        <v>0</v>
      </c>
      <c r="O34" s="466"/>
      <c r="P34" s="466"/>
      <c r="Q34" s="466"/>
      <c r="R34" s="466">
        <v>10</v>
      </c>
      <c r="S34" s="467">
        <v>4</v>
      </c>
      <c r="T34" s="467">
        <f t="shared" si="5"/>
        <v>40</v>
      </c>
      <c r="U34" s="467">
        <f t="shared" si="0"/>
        <v>40</v>
      </c>
      <c r="W34" s="468">
        <f>U34*D43</f>
        <v>273.0749354005168</v>
      </c>
      <c r="X34" s="468">
        <f>W34/4</f>
        <v>68.2687338501292</v>
      </c>
    </row>
    <row r="35" spans="1:24" s="406" customFormat="1" ht="49.5" customHeight="1" thickBot="1">
      <c r="A35" s="438">
        <v>9</v>
      </c>
      <c r="B35" s="434" t="s">
        <v>434</v>
      </c>
      <c r="C35" s="433">
        <v>3</v>
      </c>
      <c r="D35" s="344">
        <v>8</v>
      </c>
      <c r="E35" s="433">
        <f t="shared" si="1"/>
        <v>24</v>
      </c>
      <c r="F35" s="433">
        <v>3</v>
      </c>
      <c r="G35" s="344">
        <v>8</v>
      </c>
      <c r="H35" s="433">
        <f t="shared" si="2"/>
        <v>24</v>
      </c>
      <c r="I35" s="433">
        <v>3</v>
      </c>
      <c r="J35" s="344">
        <v>4</v>
      </c>
      <c r="K35" s="433">
        <f t="shared" si="3"/>
        <v>12</v>
      </c>
      <c r="L35" s="433">
        <v>3</v>
      </c>
      <c r="M35" s="344">
        <v>4</v>
      </c>
      <c r="N35" s="433">
        <f t="shared" si="4"/>
        <v>12</v>
      </c>
      <c r="O35" s="433"/>
      <c r="P35" s="433"/>
      <c r="Q35" s="433"/>
      <c r="R35" s="433">
        <v>3</v>
      </c>
      <c r="S35" s="344"/>
      <c r="T35" s="344">
        <f t="shared" si="5"/>
        <v>0</v>
      </c>
      <c r="U35" s="344">
        <f t="shared" si="0"/>
        <v>72</v>
      </c>
      <c r="W35" s="406">
        <f>U35*D43</f>
        <v>491.5348837209302</v>
      </c>
      <c r="X35" s="406">
        <f>W35/24</f>
        <v>20.48062015503876</v>
      </c>
    </row>
    <row r="36" spans="1:24" s="406" customFormat="1" ht="57.75" customHeight="1" thickBot="1">
      <c r="A36" s="438">
        <v>10</v>
      </c>
      <c r="B36" s="434" t="s">
        <v>435</v>
      </c>
      <c r="C36" s="433">
        <v>0.3</v>
      </c>
      <c r="D36" s="344">
        <v>6</v>
      </c>
      <c r="E36" s="433">
        <f t="shared" si="1"/>
        <v>1.7999999999999998</v>
      </c>
      <c r="F36" s="433">
        <v>0.3</v>
      </c>
      <c r="G36" s="344">
        <v>9</v>
      </c>
      <c r="H36" s="433">
        <f t="shared" si="2"/>
        <v>2.6999999999999997</v>
      </c>
      <c r="I36" s="433">
        <v>0.3</v>
      </c>
      <c r="J36" s="344">
        <v>6</v>
      </c>
      <c r="K36" s="433">
        <f t="shared" si="3"/>
        <v>1.7999999999999998</v>
      </c>
      <c r="L36" s="433">
        <v>0.3</v>
      </c>
      <c r="M36" s="344">
        <v>6</v>
      </c>
      <c r="N36" s="433">
        <f t="shared" si="4"/>
        <v>1.7999999999999998</v>
      </c>
      <c r="O36" s="433">
        <v>0.3</v>
      </c>
      <c r="P36" s="433">
        <v>3</v>
      </c>
      <c r="Q36" s="433">
        <f>P36*O36</f>
        <v>0.8999999999999999</v>
      </c>
      <c r="R36" s="433">
        <v>0.3</v>
      </c>
      <c r="S36" s="344"/>
      <c r="T36" s="344">
        <f t="shared" si="5"/>
        <v>0</v>
      </c>
      <c r="U36" s="344">
        <f>+E36+H36+K36+N36+Q36+T36</f>
        <v>9</v>
      </c>
      <c r="W36" s="406">
        <f>U36*D43</f>
        <v>61.44186046511628</v>
      </c>
      <c r="X36" s="406">
        <f>W36/30</f>
        <v>2.048062015503876</v>
      </c>
    </row>
    <row r="37" spans="1:24" s="406" customFormat="1" ht="56.25" customHeight="1" thickBot="1">
      <c r="A37" s="438">
        <v>11</v>
      </c>
      <c r="B37" s="434" t="s">
        <v>436</v>
      </c>
      <c r="C37" s="433">
        <v>0.3</v>
      </c>
      <c r="D37" s="344">
        <v>50</v>
      </c>
      <c r="E37" s="433">
        <f t="shared" si="1"/>
        <v>15</v>
      </c>
      <c r="F37" s="433">
        <v>0.3</v>
      </c>
      <c r="G37" s="344">
        <v>50</v>
      </c>
      <c r="H37" s="433">
        <f t="shared" si="2"/>
        <v>15</v>
      </c>
      <c r="I37" s="433">
        <v>0.3</v>
      </c>
      <c r="J37" s="344">
        <v>20</v>
      </c>
      <c r="K37" s="433">
        <f t="shared" si="3"/>
        <v>6</v>
      </c>
      <c r="L37" s="433">
        <v>0.3</v>
      </c>
      <c r="M37" s="344">
        <v>20</v>
      </c>
      <c r="N37" s="433">
        <f t="shared" si="4"/>
        <v>6</v>
      </c>
      <c r="O37" s="433"/>
      <c r="P37" s="433"/>
      <c r="Q37" s="433"/>
      <c r="R37" s="433">
        <v>0.3</v>
      </c>
      <c r="S37" s="344"/>
      <c r="T37" s="344">
        <f t="shared" si="5"/>
        <v>0</v>
      </c>
      <c r="U37" s="344">
        <f t="shared" si="0"/>
        <v>42</v>
      </c>
      <c r="W37" s="406">
        <f>U37*D43</f>
        <v>286.72868217054264</v>
      </c>
      <c r="X37" s="406">
        <f>W37/150</f>
        <v>1.9115245478036176</v>
      </c>
    </row>
    <row r="38" spans="1:21" s="4" customFormat="1" ht="55.5" customHeight="1">
      <c r="A38" s="440">
        <v>12</v>
      </c>
      <c r="B38" s="441" t="s">
        <v>437</v>
      </c>
      <c r="C38" s="442">
        <v>5</v>
      </c>
      <c r="D38" s="443">
        <v>0</v>
      </c>
      <c r="E38" s="431">
        <f t="shared" si="1"/>
        <v>0</v>
      </c>
      <c r="F38" s="442">
        <v>5</v>
      </c>
      <c r="G38" s="443">
        <v>0</v>
      </c>
      <c r="H38" s="431">
        <f t="shared" si="2"/>
        <v>0</v>
      </c>
      <c r="I38" s="442">
        <v>5</v>
      </c>
      <c r="J38" s="443">
        <v>0</v>
      </c>
      <c r="K38" s="431">
        <f t="shared" si="3"/>
        <v>0</v>
      </c>
      <c r="L38" s="442">
        <v>5</v>
      </c>
      <c r="M38" s="443">
        <v>0</v>
      </c>
      <c r="N38" s="431">
        <f t="shared" si="4"/>
        <v>0</v>
      </c>
      <c r="O38" s="442"/>
      <c r="P38" s="442"/>
      <c r="Q38" s="442"/>
      <c r="R38" s="442">
        <v>5</v>
      </c>
      <c r="S38" s="443"/>
      <c r="T38" s="374">
        <f t="shared" si="5"/>
        <v>0</v>
      </c>
      <c r="U38" s="374">
        <f t="shared" si="0"/>
        <v>0</v>
      </c>
    </row>
    <row r="39" spans="1:22" s="4" customFormat="1" ht="24.75" customHeight="1">
      <c r="A39" s="374"/>
      <c r="B39" s="377" t="s">
        <v>423</v>
      </c>
      <c r="C39" s="374"/>
      <c r="D39" s="374"/>
      <c r="E39" s="374">
        <f>SUM(E27:E38)</f>
        <v>63.8</v>
      </c>
      <c r="F39" s="374"/>
      <c r="G39" s="374"/>
      <c r="H39" s="374">
        <f>SUM(H27:H38)</f>
        <v>60.2</v>
      </c>
      <c r="I39" s="374"/>
      <c r="J39" s="374"/>
      <c r="K39" s="374">
        <f>SUM(K27:K38)</f>
        <v>31.3</v>
      </c>
      <c r="L39" s="374"/>
      <c r="M39" s="374"/>
      <c r="N39" s="374">
        <f>SUM(N27:N38)</f>
        <v>24.8</v>
      </c>
      <c r="O39" s="374"/>
      <c r="P39" s="374"/>
      <c r="Q39" s="374"/>
      <c r="R39" s="374"/>
      <c r="S39" s="374"/>
      <c r="T39" s="374">
        <f>SUM(T27:T38)</f>
        <v>206</v>
      </c>
      <c r="U39" s="374">
        <f>SUM(U27:U38)</f>
        <v>387</v>
      </c>
      <c r="V39" s="432"/>
    </row>
    <row r="40" spans="1:23" s="1" customFormat="1" ht="30.75" customHeight="1">
      <c r="A40" s="332"/>
      <c r="B40" s="450" t="s">
        <v>141</v>
      </c>
      <c r="C40" s="332"/>
      <c r="D40" s="332"/>
      <c r="E40" s="444">
        <f>+$D$43*E39</f>
        <v>435.5545219638243</v>
      </c>
      <c r="F40" s="444"/>
      <c r="G40" s="444"/>
      <c r="H40" s="444">
        <f>+$D$43*H39</f>
        <v>410.9777777777778</v>
      </c>
      <c r="I40" s="444"/>
      <c r="J40" s="444"/>
      <c r="K40" s="444">
        <f>+$D$43*K39</f>
        <v>213.6811369509044</v>
      </c>
      <c r="L40" s="444"/>
      <c r="M40" s="444"/>
      <c r="N40" s="444">
        <f>+$D$43*N39</f>
        <v>169.30645994832042</v>
      </c>
      <c r="O40" s="444"/>
      <c r="P40" s="444"/>
      <c r="Q40" s="444"/>
      <c r="R40" s="444"/>
      <c r="S40" s="444"/>
      <c r="T40" s="444">
        <f>+$D$43*T39</f>
        <v>1406.3359173126616</v>
      </c>
      <c r="U40" s="444">
        <f>+$D$43*U39</f>
        <v>2642</v>
      </c>
      <c r="V40" s="445"/>
      <c r="W40" s="1">
        <f>SUM(W28:W39)</f>
        <v>2642</v>
      </c>
    </row>
    <row r="42" spans="3:4" ht="15">
      <c r="C42" s="4" t="s">
        <v>303</v>
      </c>
      <c r="D42" s="4" t="s">
        <v>215</v>
      </c>
    </row>
    <row r="43" spans="2:4" ht="15">
      <c r="B43" s="4" t="s">
        <v>141</v>
      </c>
      <c r="C43" s="393">
        <v>2642</v>
      </c>
      <c r="D43" s="446">
        <f>+C43/U39</f>
        <v>6.82687338501292</v>
      </c>
    </row>
    <row r="51" spans="2:8" ht="15">
      <c r="B51" s="447" t="s">
        <v>438</v>
      </c>
      <c r="C51" s="447"/>
      <c r="D51" s="447"/>
      <c r="E51" s="447"/>
      <c r="F51" s="447"/>
      <c r="G51" s="447"/>
      <c r="H51" s="447"/>
    </row>
    <row r="52" spans="2:8" ht="15">
      <c r="B52" s="448"/>
      <c r="C52" s="448"/>
      <c r="D52" s="448"/>
      <c r="E52" s="448"/>
      <c r="F52" s="448"/>
      <c r="G52" s="448"/>
      <c r="H52" s="448"/>
    </row>
    <row r="53" spans="2:8" ht="15">
      <c r="B53" s="448"/>
      <c r="C53" s="448"/>
      <c r="D53" s="448"/>
      <c r="E53" s="448"/>
      <c r="F53" s="448"/>
      <c r="G53" s="448"/>
      <c r="H53" s="448"/>
    </row>
    <row r="54" spans="2:8" ht="15">
      <c r="B54" s="449" t="s">
        <v>439</v>
      </c>
      <c r="C54" s="447"/>
      <c r="D54" s="447" t="s">
        <v>440</v>
      </c>
      <c r="E54" s="447"/>
      <c r="F54" s="448"/>
      <c r="G54" s="448"/>
      <c r="H54" s="448"/>
    </row>
    <row r="55" spans="2:8" ht="15">
      <c r="B55" s="449" t="s">
        <v>441</v>
      </c>
      <c r="C55" s="447"/>
      <c r="D55" s="447" t="s">
        <v>442</v>
      </c>
      <c r="E55" s="447"/>
      <c r="F55" s="448"/>
      <c r="G55" s="448"/>
      <c r="H55" s="448"/>
    </row>
    <row r="56" spans="2:8" ht="15">
      <c r="B56" s="449" t="s">
        <v>443</v>
      </c>
      <c r="C56" s="447"/>
      <c r="D56" s="447" t="s">
        <v>442</v>
      </c>
      <c r="E56" s="447"/>
      <c r="F56" s="448"/>
      <c r="G56" s="448"/>
      <c r="H56" s="448"/>
    </row>
    <row r="57" spans="2:8" ht="15">
      <c r="B57" s="449" t="s">
        <v>444</v>
      </c>
      <c r="C57" s="447"/>
      <c r="D57" s="447" t="s">
        <v>445</v>
      </c>
      <c r="E57" s="447"/>
      <c r="F57" s="448"/>
      <c r="G57" s="448"/>
      <c r="H57" s="448"/>
    </row>
  </sheetData>
  <sheetProtection/>
  <mergeCells count="20">
    <mergeCell ref="L24:N24"/>
    <mergeCell ref="O24:Q24"/>
    <mergeCell ref="R24:T24"/>
    <mergeCell ref="U24:U25"/>
    <mergeCell ref="L5:N5"/>
    <mergeCell ref="O5:Q5"/>
    <mergeCell ref="R5:R6"/>
    <mergeCell ref="S5:S6"/>
    <mergeCell ref="A23:B23"/>
    <mergeCell ref="A24:A25"/>
    <mergeCell ref="B24:B25"/>
    <mergeCell ref="C24:E24"/>
    <mergeCell ref="F24:H24"/>
    <mergeCell ref="I24:K24"/>
    <mergeCell ref="A4:B4"/>
    <mergeCell ref="A5:A6"/>
    <mergeCell ref="B5:B6"/>
    <mergeCell ref="C5:E5"/>
    <mergeCell ref="F5:H5"/>
    <mergeCell ref="I5:K5"/>
  </mergeCells>
  <printOptions/>
  <pageMargins left="0.7" right="0.7" top="0.75" bottom="0.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1:AN17"/>
  <sheetViews>
    <sheetView zoomScalePageLayoutView="0" workbookViewId="0" topLeftCell="A1">
      <pane xSplit="1" ySplit="1" topLeftCell="B2" activePane="bottomRight" state="frozen"/>
      <selection pane="topLeft" activeCell="A1" sqref="A1"/>
      <selection pane="topRight" activeCell="B1" sqref="B1"/>
      <selection pane="bottomLeft" activeCell="A8" sqref="A8"/>
      <selection pane="bottomRight" activeCell="J10" sqref="J10"/>
    </sheetView>
  </sheetViews>
  <sheetFormatPr defaultColWidth="9.00390625" defaultRowHeight="15.75"/>
  <cols>
    <col min="1" max="1" width="6.25390625" style="116" customWidth="1"/>
    <col min="2" max="2" width="21.625" style="3" customWidth="1"/>
    <col min="3" max="3" width="10.00390625" style="3" customWidth="1"/>
    <col min="4" max="4" width="9.625" style="211" customWidth="1"/>
    <col min="5" max="5" width="11.00390625" style="211" customWidth="1"/>
    <col min="6" max="6" width="10.875" style="211" customWidth="1"/>
    <col min="7" max="7" width="9.00390625" style="211" customWidth="1"/>
  </cols>
  <sheetData>
    <row r="1" spans="1:7" ht="21" customHeight="1">
      <c r="A1" s="800" t="s">
        <v>207</v>
      </c>
      <c r="B1" s="800"/>
      <c r="C1" s="800"/>
      <c r="D1" s="800"/>
      <c r="E1" s="800"/>
      <c r="F1" s="800"/>
      <c r="G1" s="800"/>
    </row>
    <row r="2" spans="1:40" ht="15.75" customHeight="1">
      <c r="A2" s="332" t="s">
        <v>0</v>
      </c>
      <c r="B2" s="332" t="s">
        <v>193</v>
      </c>
      <c r="C2" s="715" t="s">
        <v>332</v>
      </c>
      <c r="D2" s="716"/>
      <c r="E2" s="716"/>
      <c r="F2" s="717"/>
      <c r="G2" s="712" t="s">
        <v>333</v>
      </c>
      <c r="H2" s="713"/>
      <c r="I2" s="713"/>
      <c r="J2" s="714"/>
      <c r="K2" s="723" t="s">
        <v>334</v>
      </c>
      <c r="L2" s="723"/>
      <c r="M2" s="723"/>
      <c r="N2" s="723"/>
      <c r="O2" s="801" t="s">
        <v>335</v>
      </c>
      <c r="P2" s="801"/>
      <c r="Q2" s="801"/>
      <c r="R2" s="801"/>
      <c r="S2" s="801" t="s">
        <v>336</v>
      </c>
      <c r="T2" s="801"/>
      <c r="U2" s="801"/>
      <c r="V2" s="801"/>
      <c r="W2" s="802" t="s">
        <v>337</v>
      </c>
      <c r="X2" s="802"/>
      <c r="Y2" s="802"/>
      <c r="Z2" s="802"/>
      <c r="AA2" s="801" t="s">
        <v>338</v>
      </c>
      <c r="AB2" s="801"/>
      <c r="AC2" s="801"/>
      <c r="AD2" s="801"/>
      <c r="AE2" s="801" t="s">
        <v>339</v>
      </c>
      <c r="AF2" s="801"/>
      <c r="AG2" s="801"/>
      <c r="AH2" s="801"/>
      <c r="AI2" s="723" t="s">
        <v>340</v>
      </c>
      <c r="AJ2" s="723"/>
      <c r="AK2" s="723"/>
      <c r="AL2" s="723"/>
      <c r="AM2" s="702" t="s">
        <v>326</v>
      </c>
      <c r="AN2" s="705" t="s">
        <v>327</v>
      </c>
    </row>
    <row r="3" spans="1:40" ht="15">
      <c r="A3" s="336"/>
      <c r="B3" s="336"/>
      <c r="C3" s="701" t="s">
        <v>321</v>
      </c>
      <c r="D3" s="701" t="s">
        <v>282</v>
      </c>
      <c r="E3" s="701" t="s">
        <v>283</v>
      </c>
      <c r="F3" s="710" t="s">
        <v>196</v>
      </c>
      <c r="G3" s="701" t="s">
        <v>321</v>
      </c>
      <c r="H3" s="701" t="s">
        <v>282</v>
      </c>
      <c r="I3" s="701" t="s">
        <v>283</v>
      </c>
      <c r="J3" s="710" t="s">
        <v>196</v>
      </c>
      <c r="K3" s="701" t="s">
        <v>321</v>
      </c>
      <c r="L3" s="701" t="s">
        <v>282</v>
      </c>
      <c r="M3" s="701" t="s">
        <v>283</v>
      </c>
      <c r="N3" s="710" t="s">
        <v>196</v>
      </c>
      <c r="O3" s="701" t="s">
        <v>214</v>
      </c>
      <c r="P3" s="701" t="s">
        <v>282</v>
      </c>
      <c r="Q3" s="701" t="s">
        <v>283</v>
      </c>
      <c r="R3" s="710" t="s">
        <v>196</v>
      </c>
      <c r="S3" s="701" t="s">
        <v>214</v>
      </c>
      <c r="T3" s="701" t="s">
        <v>282</v>
      </c>
      <c r="U3" s="701" t="s">
        <v>283</v>
      </c>
      <c r="V3" s="710" t="s">
        <v>196</v>
      </c>
      <c r="W3" s="701" t="s">
        <v>214</v>
      </c>
      <c r="X3" s="701" t="s">
        <v>282</v>
      </c>
      <c r="Y3" s="701" t="s">
        <v>283</v>
      </c>
      <c r="Z3" s="710" t="s">
        <v>196</v>
      </c>
      <c r="AA3" s="701" t="s">
        <v>214</v>
      </c>
      <c r="AB3" s="701" t="s">
        <v>282</v>
      </c>
      <c r="AC3" s="701" t="s">
        <v>283</v>
      </c>
      <c r="AD3" s="710" t="s">
        <v>196</v>
      </c>
      <c r="AE3" s="701" t="s">
        <v>214</v>
      </c>
      <c r="AF3" s="701" t="s">
        <v>282</v>
      </c>
      <c r="AG3" s="701" t="s">
        <v>283</v>
      </c>
      <c r="AH3" s="710" t="s">
        <v>196</v>
      </c>
      <c r="AI3" s="708" t="s">
        <v>320</v>
      </c>
      <c r="AJ3" s="708" t="s">
        <v>282</v>
      </c>
      <c r="AK3" s="708" t="s">
        <v>283</v>
      </c>
      <c r="AL3" s="722" t="s">
        <v>196</v>
      </c>
      <c r="AM3" s="703"/>
      <c r="AN3" s="706"/>
    </row>
    <row r="4" spans="1:40" ht="15.75" customHeight="1">
      <c r="A4" s="336"/>
      <c r="B4" s="336"/>
      <c r="C4" s="701"/>
      <c r="D4" s="701"/>
      <c r="E4" s="701"/>
      <c r="F4" s="711"/>
      <c r="G4" s="701"/>
      <c r="H4" s="701"/>
      <c r="I4" s="701"/>
      <c r="J4" s="711"/>
      <c r="K4" s="701"/>
      <c r="L4" s="701"/>
      <c r="M4" s="701"/>
      <c r="N4" s="711"/>
      <c r="O4" s="701"/>
      <c r="P4" s="701"/>
      <c r="Q4" s="701"/>
      <c r="R4" s="711"/>
      <c r="S4" s="701"/>
      <c r="T4" s="701"/>
      <c r="U4" s="701"/>
      <c r="V4" s="711"/>
      <c r="W4" s="701"/>
      <c r="X4" s="701"/>
      <c r="Y4" s="701"/>
      <c r="Z4" s="711"/>
      <c r="AA4" s="701"/>
      <c r="AB4" s="701"/>
      <c r="AC4" s="701"/>
      <c r="AD4" s="711"/>
      <c r="AE4" s="701"/>
      <c r="AF4" s="701"/>
      <c r="AG4" s="701"/>
      <c r="AH4" s="711"/>
      <c r="AI4" s="701"/>
      <c r="AJ4" s="701"/>
      <c r="AK4" s="701"/>
      <c r="AL4" s="711"/>
      <c r="AM4" s="704"/>
      <c r="AN4" s="707"/>
    </row>
    <row r="5" spans="1:40" ht="15">
      <c r="A5" s="334"/>
      <c r="B5" s="334" t="s">
        <v>287</v>
      </c>
      <c r="C5" s="334"/>
      <c r="D5" s="334"/>
      <c r="E5" s="334"/>
      <c r="F5" s="326">
        <f>+E5*$H$17</f>
        <v>0</v>
      </c>
      <c r="G5" s="334"/>
      <c r="H5" s="334"/>
      <c r="I5" s="334"/>
      <c r="J5" s="326">
        <f>+I5*$H$17</f>
        <v>0</v>
      </c>
      <c r="K5" s="334"/>
      <c r="L5" s="334"/>
      <c r="M5" s="335"/>
      <c r="N5" s="326">
        <f>+M5*$H$17</f>
        <v>0</v>
      </c>
      <c r="O5" s="245"/>
      <c r="P5" s="245"/>
      <c r="Q5" s="245"/>
      <c r="R5" s="326"/>
      <c r="S5" s="245"/>
      <c r="T5" s="245"/>
      <c r="U5" s="245"/>
      <c r="V5" s="326"/>
      <c r="W5" s="245"/>
      <c r="X5" s="245"/>
      <c r="Y5" s="245"/>
      <c r="Z5" s="326"/>
      <c r="AA5" s="245"/>
      <c r="AB5" s="245"/>
      <c r="AC5" s="245"/>
      <c r="AD5" s="326"/>
      <c r="AE5" s="245"/>
      <c r="AF5" s="245"/>
      <c r="AG5" s="245"/>
      <c r="AH5" s="326"/>
      <c r="AI5" s="334">
        <v>12</v>
      </c>
      <c r="AJ5" s="334">
        <v>30</v>
      </c>
      <c r="AK5" s="334">
        <f>+AJ5*AI5</f>
        <v>360</v>
      </c>
      <c r="AL5" s="326">
        <f>+AK5*$H$17</f>
        <v>0</v>
      </c>
      <c r="AM5" s="331">
        <f aca="true" t="shared" si="0" ref="AM5:AM10">+E5+I5+M5+AK5</f>
        <v>360</v>
      </c>
      <c r="AN5" s="335">
        <f>+AM5*H16</f>
        <v>57258.66666666667</v>
      </c>
    </row>
    <row r="6" spans="1:40" ht="15">
      <c r="A6" s="334"/>
      <c r="B6" s="334" t="s">
        <v>288</v>
      </c>
      <c r="C6" s="334"/>
      <c r="D6" s="334"/>
      <c r="E6" s="334"/>
      <c r="F6" s="326">
        <f>+E6*$H$17</f>
        <v>0</v>
      </c>
      <c r="G6" s="334"/>
      <c r="H6" s="334"/>
      <c r="I6" s="334"/>
      <c r="J6" s="326">
        <f>+I6*$H$17</f>
        <v>0</v>
      </c>
      <c r="K6" s="334"/>
      <c r="L6" s="334"/>
      <c r="M6" s="335"/>
      <c r="N6" s="326">
        <f>+M6*$H$17</f>
        <v>0</v>
      </c>
      <c r="O6" s="245"/>
      <c r="P6" s="245"/>
      <c r="Q6" s="245"/>
      <c r="R6" s="326"/>
      <c r="S6" s="245"/>
      <c r="T6" s="245"/>
      <c r="U6" s="245"/>
      <c r="V6" s="326"/>
      <c r="W6" s="245"/>
      <c r="X6" s="245"/>
      <c r="Y6" s="245"/>
      <c r="Z6" s="326"/>
      <c r="AA6" s="245"/>
      <c r="AB6" s="245"/>
      <c r="AC6" s="245"/>
      <c r="AD6" s="326"/>
      <c r="AE6" s="245"/>
      <c r="AF6" s="245"/>
      <c r="AG6" s="245"/>
      <c r="AH6" s="326"/>
      <c r="AI6" s="334">
        <v>2</v>
      </c>
      <c r="AJ6" s="334">
        <v>30</v>
      </c>
      <c r="AK6" s="334">
        <f>+AJ6*AI6</f>
        <v>60</v>
      </c>
      <c r="AL6" s="326">
        <f>+AK6*$H$17</f>
        <v>0</v>
      </c>
      <c r="AM6" s="331">
        <f t="shared" si="0"/>
        <v>60</v>
      </c>
      <c r="AN6" s="335">
        <f>+AM6*H16</f>
        <v>9543.111111111111</v>
      </c>
    </row>
    <row r="7" spans="1:40" ht="15">
      <c r="A7" s="334"/>
      <c r="B7" s="334" t="s">
        <v>289</v>
      </c>
      <c r="C7" s="334"/>
      <c r="D7" s="334"/>
      <c r="E7" s="334"/>
      <c r="F7" s="326">
        <f>+E7*$H$17</f>
        <v>0</v>
      </c>
      <c r="G7" s="334"/>
      <c r="H7" s="334"/>
      <c r="I7" s="334"/>
      <c r="J7" s="326">
        <f>+I7*$H$17</f>
        <v>0</v>
      </c>
      <c r="K7" s="334"/>
      <c r="L7" s="334"/>
      <c r="M7" s="335"/>
      <c r="N7" s="326">
        <f>+M7*$H$17</f>
        <v>0</v>
      </c>
      <c r="O7" s="245"/>
      <c r="P7" s="245"/>
      <c r="Q7" s="245"/>
      <c r="R7" s="326"/>
      <c r="S7" s="245"/>
      <c r="T7" s="245"/>
      <c r="U7" s="245"/>
      <c r="V7" s="326"/>
      <c r="W7" s="245"/>
      <c r="X7" s="245"/>
      <c r="Y7" s="245"/>
      <c r="Z7" s="326"/>
      <c r="AA7" s="245"/>
      <c r="AB7" s="245"/>
      <c r="AC7" s="245"/>
      <c r="AD7" s="326"/>
      <c r="AE7" s="245"/>
      <c r="AF7" s="245"/>
      <c r="AG7" s="245"/>
      <c r="AH7" s="326"/>
      <c r="AI7" s="334">
        <v>4</v>
      </c>
      <c r="AJ7" s="334">
        <v>30</v>
      </c>
      <c r="AK7" s="334">
        <f>+AJ7*AI7</f>
        <v>120</v>
      </c>
      <c r="AL7" s="326">
        <f>+AK7*$H$17</f>
        <v>0</v>
      </c>
      <c r="AM7" s="331">
        <f t="shared" si="0"/>
        <v>120</v>
      </c>
      <c r="AN7" s="335">
        <f>+AM7*H16</f>
        <v>19086.222222222223</v>
      </c>
    </row>
    <row r="8" spans="1:40" ht="15">
      <c r="A8" s="334"/>
      <c r="B8" s="334" t="s">
        <v>290</v>
      </c>
      <c r="C8" s="334"/>
      <c r="D8" s="334"/>
      <c r="E8" s="334"/>
      <c r="F8" s="326">
        <f>+E8*$H$17</f>
        <v>0</v>
      </c>
      <c r="G8" s="334"/>
      <c r="H8" s="334"/>
      <c r="I8" s="334"/>
      <c r="J8" s="326">
        <f>+I8*$H$17</f>
        <v>0</v>
      </c>
      <c r="K8" s="334"/>
      <c r="L8" s="334"/>
      <c r="M8" s="335"/>
      <c r="N8" s="326">
        <f>+M8*$H$17</f>
        <v>0</v>
      </c>
      <c r="O8" s="245"/>
      <c r="P8" s="245"/>
      <c r="Q8" s="245"/>
      <c r="R8" s="326"/>
      <c r="S8" s="245"/>
      <c r="T8" s="245"/>
      <c r="U8" s="245"/>
      <c r="V8" s="326"/>
      <c r="W8" s="245"/>
      <c r="X8" s="245"/>
      <c r="Y8" s="245"/>
      <c r="Z8" s="326"/>
      <c r="AA8" s="245"/>
      <c r="AB8" s="245"/>
      <c r="AC8" s="245"/>
      <c r="AD8" s="326"/>
      <c r="AE8" s="245"/>
      <c r="AF8" s="245"/>
      <c r="AG8" s="245"/>
      <c r="AH8" s="326"/>
      <c r="AI8" s="334">
        <v>0</v>
      </c>
      <c r="AJ8" s="334">
        <v>30</v>
      </c>
      <c r="AK8" s="334">
        <f>+AJ8*AI8</f>
        <v>0</v>
      </c>
      <c r="AL8" s="326">
        <f>+AK8*$H$17</f>
        <v>0</v>
      </c>
      <c r="AM8" s="331">
        <f t="shared" si="0"/>
        <v>0</v>
      </c>
      <c r="AN8" s="335">
        <f>+AM8*H16</f>
        <v>0</v>
      </c>
    </row>
    <row r="9" spans="1:40" ht="15">
      <c r="A9" s="334"/>
      <c r="B9" s="334" t="s">
        <v>295</v>
      </c>
      <c r="C9" s="334"/>
      <c r="D9" s="334"/>
      <c r="E9" s="334"/>
      <c r="F9" s="326">
        <f>+E9*$H$17</f>
        <v>0</v>
      </c>
      <c r="G9" s="334"/>
      <c r="H9" s="334"/>
      <c r="I9" s="334"/>
      <c r="J9" s="326">
        <f>+I9*$H$17</f>
        <v>0</v>
      </c>
      <c r="K9" s="334"/>
      <c r="L9" s="334"/>
      <c r="M9" s="335"/>
      <c r="N9" s="326">
        <f>+M9*$H$17</f>
        <v>0</v>
      </c>
      <c r="O9" s="245"/>
      <c r="P9" s="245"/>
      <c r="Q9" s="245"/>
      <c r="R9" s="326"/>
      <c r="S9" s="245"/>
      <c r="T9" s="245"/>
      <c r="U9" s="245"/>
      <c r="V9" s="326"/>
      <c r="W9" s="245"/>
      <c r="X9" s="245"/>
      <c r="Y9" s="245"/>
      <c r="Z9" s="326"/>
      <c r="AA9" s="245"/>
      <c r="AB9" s="245"/>
      <c r="AC9" s="245"/>
      <c r="AD9" s="326"/>
      <c r="AE9" s="245"/>
      <c r="AF9" s="245"/>
      <c r="AG9" s="245"/>
      <c r="AH9" s="326"/>
      <c r="AI9" s="334"/>
      <c r="AJ9" s="334"/>
      <c r="AK9" s="334"/>
      <c r="AL9" s="326">
        <f>+AK9*$H$17</f>
        <v>0</v>
      </c>
      <c r="AM9" s="331">
        <f t="shared" si="0"/>
        <v>0</v>
      </c>
      <c r="AN9" s="334" t="e">
        <f>+AM9*'[1]DA1 ĐẦU TƯ VÀ PHẦN A PHỤ LỤC'!G20</f>
        <v>#REF!</v>
      </c>
    </row>
    <row r="10" spans="1:40" ht="15">
      <c r="A10" s="332"/>
      <c r="B10" s="332" t="s">
        <v>206</v>
      </c>
      <c r="C10" s="332">
        <f aca="true" t="shared" si="1" ref="C10:N10">SUM(C5:C9)</f>
        <v>0</v>
      </c>
      <c r="D10" s="332">
        <f t="shared" si="1"/>
        <v>0</v>
      </c>
      <c r="E10" s="332">
        <f t="shared" si="1"/>
        <v>0</v>
      </c>
      <c r="F10" s="327">
        <f t="shared" si="1"/>
        <v>0</v>
      </c>
      <c r="G10" s="332">
        <f t="shared" si="1"/>
        <v>0</v>
      </c>
      <c r="H10" s="332">
        <f t="shared" si="1"/>
        <v>0</v>
      </c>
      <c r="I10" s="332">
        <f t="shared" si="1"/>
        <v>0</v>
      </c>
      <c r="J10" s="327">
        <f t="shared" si="1"/>
        <v>0</v>
      </c>
      <c r="K10" s="332">
        <f t="shared" si="1"/>
        <v>0</v>
      </c>
      <c r="L10" s="332">
        <f t="shared" si="1"/>
        <v>0</v>
      </c>
      <c r="M10" s="333">
        <f t="shared" si="1"/>
        <v>0</v>
      </c>
      <c r="N10" s="327">
        <f t="shared" si="1"/>
        <v>0</v>
      </c>
      <c r="O10" s="255"/>
      <c r="P10" s="255"/>
      <c r="Q10" s="255"/>
      <c r="R10" s="327"/>
      <c r="S10" s="255"/>
      <c r="T10" s="255"/>
      <c r="U10" s="255"/>
      <c r="V10" s="327"/>
      <c r="W10" s="255"/>
      <c r="X10" s="255"/>
      <c r="Y10" s="255"/>
      <c r="Z10" s="327"/>
      <c r="AA10" s="255"/>
      <c r="AB10" s="255"/>
      <c r="AC10" s="255"/>
      <c r="AD10" s="327"/>
      <c r="AE10" s="255"/>
      <c r="AF10" s="255"/>
      <c r="AG10" s="255"/>
      <c r="AH10" s="327"/>
      <c r="AI10" s="332">
        <f>SUM(AI5:AI9)</f>
        <v>18</v>
      </c>
      <c r="AJ10" s="332">
        <f>SUM(AJ5:AJ9)</f>
        <v>120</v>
      </c>
      <c r="AK10" s="332">
        <f>SUM(AK5:AK9)</f>
        <v>540</v>
      </c>
      <c r="AL10" s="327">
        <f>SUM(AL5:AL9)</f>
        <v>0</v>
      </c>
      <c r="AM10" s="331">
        <f t="shared" si="0"/>
        <v>540</v>
      </c>
      <c r="AN10" s="305" t="e">
        <f>SUM(AN5:AN9)</f>
        <v>#REF!</v>
      </c>
    </row>
    <row r="11" spans="1:20" ht="15">
      <c r="A11" s="315"/>
      <c r="B11" s="316" t="s">
        <v>217</v>
      </c>
      <c r="C11" s="315"/>
      <c r="D11" s="315"/>
      <c r="E11" s="315"/>
      <c r="F11" s="315"/>
      <c r="G11" s="315"/>
      <c r="H11" s="315"/>
      <c r="I11" s="315"/>
      <c r="J11" s="315"/>
      <c r="K11" s="315"/>
      <c r="L11" s="315"/>
      <c r="M11" s="315"/>
      <c r="N11" s="315"/>
      <c r="O11" s="315"/>
      <c r="P11" s="315"/>
      <c r="Q11" s="315"/>
      <c r="R11" s="315"/>
      <c r="S11" s="315"/>
      <c r="T11" s="315">
        <f>+AL10+N10+J10+F10</f>
        <v>0</v>
      </c>
    </row>
    <row r="12" spans="1:20" ht="15">
      <c r="A12" s="315"/>
      <c r="B12" s="315"/>
      <c r="C12" s="315"/>
      <c r="D12" s="315"/>
      <c r="E12" s="315"/>
      <c r="F12" s="315"/>
      <c r="G12" s="315"/>
      <c r="H12" s="315"/>
      <c r="I12" s="315"/>
      <c r="J12" s="315"/>
      <c r="K12" s="315"/>
      <c r="L12" s="315"/>
      <c r="M12" s="315"/>
      <c r="N12" s="315"/>
      <c r="O12" s="315"/>
      <c r="P12" s="315"/>
      <c r="Q12" s="315"/>
      <c r="R12" s="315"/>
      <c r="S12" s="315"/>
      <c r="T12" s="315"/>
    </row>
    <row r="13" spans="1:20" ht="15">
      <c r="A13" s="315"/>
      <c r="B13" s="315"/>
      <c r="C13" s="315"/>
      <c r="D13" s="315"/>
      <c r="E13" s="315"/>
      <c r="F13" s="315"/>
      <c r="G13" s="315"/>
      <c r="H13" s="315"/>
      <c r="I13" s="315"/>
      <c r="J13" s="315"/>
      <c r="K13" s="315"/>
      <c r="L13" s="315"/>
      <c r="M13" s="315"/>
      <c r="N13" s="315"/>
      <c r="O13" s="315"/>
      <c r="P13" s="315"/>
      <c r="Q13" s="315"/>
      <c r="R13" s="315"/>
      <c r="S13" s="315"/>
      <c r="T13" s="315"/>
    </row>
    <row r="14" spans="1:19" ht="15">
      <c r="A14"/>
      <c r="B14"/>
      <c r="C14"/>
      <c r="D14"/>
      <c r="E14"/>
      <c r="F14"/>
      <c r="G14"/>
      <c r="S14" s="302"/>
    </row>
    <row r="15" spans="1:19" ht="15">
      <c r="A15"/>
      <c r="B15"/>
      <c r="C15"/>
      <c r="D15"/>
      <c r="E15"/>
      <c r="F15"/>
      <c r="G15" t="s">
        <v>196</v>
      </c>
      <c r="H15" t="s">
        <v>305</v>
      </c>
      <c r="S15" s="302"/>
    </row>
    <row r="16" spans="1:19" ht="15">
      <c r="A16"/>
      <c r="B16"/>
      <c r="C16"/>
      <c r="D16"/>
      <c r="E16" t="s">
        <v>141</v>
      </c>
      <c r="F16"/>
      <c r="G16">
        <v>85888</v>
      </c>
      <c r="H16" s="330">
        <f>G16/AM10</f>
        <v>159.05185185185186</v>
      </c>
      <c r="S16" s="302"/>
    </row>
    <row r="17" spans="1:7" ht="15">
      <c r="A17"/>
      <c r="B17"/>
      <c r="C17"/>
      <c r="D17"/>
      <c r="E17"/>
      <c r="F17"/>
      <c r="G17"/>
    </row>
  </sheetData>
  <sheetProtection/>
  <mergeCells count="48">
    <mergeCell ref="W3:W4"/>
    <mergeCell ref="X3:X4"/>
    <mergeCell ref="Z3:Z4"/>
    <mergeCell ref="AA3:AA4"/>
    <mergeCell ref="AB3:AB4"/>
    <mergeCell ref="AC3:AC4"/>
    <mergeCell ref="AD3:AD4"/>
    <mergeCell ref="AE3:AE4"/>
    <mergeCell ref="AA2:AD2"/>
    <mergeCell ref="AE2:AH2"/>
    <mergeCell ref="S3:S4"/>
    <mergeCell ref="T3:T4"/>
    <mergeCell ref="U3:U4"/>
    <mergeCell ref="V3:V4"/>
    <mergeCell ref="AF3:AF4"/>
    <mergeCell ref="AG3:AG4"/>
    <mergeCell ref="O3:O4"/>
    <mergeCell ref="P3:P4"/>
    <mergeCell ref="Q3:Q4"/>
    <mergeCell ref="R3:R4"/>
    <mergeCell ref="O2:R2"/>
    <mergeCell ref="M3:M4"/>
    <mergeCell ref="C3:C4"/>
    <mergeCell ref="D3:D4"/>
    <mergeCell ref="E3:E4"/>
    <mergeCell ref="F3:F4"/>
    <mergeCell ref="G3:G4"/>
    <mergeCell ref="H3:H4"/>
    <mergeCell ref="K3:K4"/>
    <mergeCell ref="L3:L4"/>
    <mergeCell ref="N3:N4"/>
    <mergeCell ref="S2:V2"/>
    <mergeCell ref="AM2:AM4"/>
    <mergeCell ref="AN2:AN4"/>
    <mergeCell ref="AH3:AH4"/>
    <mergeCell ref="W2:Z2"/>
    <mergeCell ref="Y3:Y4"/>
    <mergeCell ref="K2:N2"/>
    <mergeCell ref="A1:G1"/>
    <mergeCell ref="AI3:AI4"/>
    <mergeCell ref="AJ3:AJ4"/>
    <mergeCell ref="AK3:AK4"/>
    <mergeCell ref="AL3:AL4"/>
    <mergeCell ref="I3:I4"/>
    <mergeCell ref="J3:J4"/>
    <mergeCell ref="C2:F2"/>
    <mergeCell ref="G2:J2"/>
    <mergeCell ref="AI2:AL2"/>
  </mergeCells>
  <printOptions horizontalCentered="1"/>
  <pageMargins left="0.1968503937007874" right="0.2362204724409449" top="0.1968503937007874" bottom="0.1968503937007874" header="0.2755905511811024" footer="0.5118110236220472"/>
  <pageSetup horizontalDpi="600" verticalDpi="600" orientation="landscape" paperSize="9" r:id="rId1"/>
  <headerFooter differentFirst="1" alignWithMargins="0">
    <oddHeader>&amp;C&amp;P</oddHeader>
  </headerFooter>
</worksheet>
</file>

<file path=xl/worksheets/sheet13.xml><?xml version="1.0" encoding="utf-8"?>
<worksheet xmlns="http://schemas.openxmlformats.org/spreadsheetml/2006/main" xmlns:r="http://schemas.openxmlformats.org/officeDocument/2006/relationships">
  <dimension ref="A1:J36"/>
  <sheetViews>
    <sheetView zoomScalePageLayoutView="0" workbookViewId="0" topLeftCell="A1">
      <pane xSplit="1" ySplit="4" topLeftCell="B14" activePane="bottomRight" state="frozen"/>
      <selection pane="topLeft" activeCell="A1" sqref="A1"/>
      <selection pane="topRight" activeCell="B1" sqref="B1"/>
      <selection pane="bottomLeft" activeCell="A8" sqref="A8"/>
      <selection pane="bottomRight" activeCell="D39" sqref="D39"/>
    </sheetView>
  </sheetViews>
  <sheetFormatPr defaultColWidth="9.00390625" defaultRowHeight="15.75"/>
  <cols>
    <col min="1" max="1" width="6.25390625" style="116" customWidth="1"/>
    <col min="2" max="2" width="21.625" style="3" customWidth="1"/>
    <col min="3" max="3" width="10.00390625" style="3" customWidth="1"/>
    <col min="4" max="4" width="9.625" style="211" customWidth="1"/>
    <col min="5" max="5" width="11.00390625" style="211" customWidth="1"/>
    <col min="6" max="6" width="10.875" style="211" customWidth="1"/>
    <col min="7" max="7" width="9.00390625" style="211" customWidth="1"/>
  </cols>
  <sheetData>
    <row r="1" spans="1:7" ht="21" customHeight="1">
      <c r="A1" s="800" t="s">
        <v>207</v>
      </c>
      <c r="B1" s="800"/>
      <c r="C1" s="800"/>
      <c r="D1" s="800"/>
      <c r="E1" s="800"/>
      <c r="F1" s="800"/>
      <c r="G1" s="800"/>
    </row>
    <row r="2" ht="12.75" customHeight="1"/>
    <row r="3" spans="1:7" ht="19.5" customHeight="1">
      <c r="A3" s="809" t="s">
        <v>0</v>
      </c>
      <c r="B3" s="809" t="s">
        <v>24</v>
      </c>
      <c r="C3" s="809" t="s">
        <v>214</v>
      </c>
      <c r="D3" s="810" t="s">
        <v>194</v>
      </c>
      <c r="E3" s="804" t="s">
        <v>140</v>
      </c>
      <c r="F3" s="806" t="s">
        <v>217</v>
      </c>
      <c r="G3" s="808" t="s">
        <v>216</v>
      </c>
    </row>
    <row r="4" spans="1:7" s="147" customFormat="1" ht="36" customHeight="1">
      <c r="A4" s="809"/>
      <c r="B4" s="809"/>
      <c r="C4" s="809"/>
      <c r="D4" s="810"/>
      <c r="E4" s="805"/>
      <c r="F4" s="807"/>
      <c r="G4" s="808"/>
    </row>
    <row r="5" spans="1:7" s="7" customFormat="1" ht="18.75" customHeight="1">
      <c r="A5" s="110" t="s">
        <v>13</v>
      </c>
      <c r="B5" s="119" t="s">
        <v>178</v>
      </c>
      <c r="C5" s="110">
        <v>3</v>
      </c>
      <c r="D5" s="212">
        <v>2</v>
      </c>
      <c r="E5" s="212">
        <f>+E6+E7</f>
        <v>53.150000000000006</v>
      </c>
      <c r="F5" s="213">
        <f>+E5*$G$36</f>
        <v>50.66212765957447</v>
      </c>
      <c r="G5" s="213"/>
    </row>
    <row r="6" spans="1:7" s="7" customFormat="1" ht="18.75" customHeight="1">
      <c r="A6" s="64">
        <v>1</v>
      </c>
      <c r="B6" s="238" t="s">
        <v>186</v>
      </c>
      <c r="C6" s="64">
        <v>3</v>
      </c>
      <c r="D6" s="240">
        <v>1.5</v>
      </c>
      <c r="E6" s="240">
        <f>+D6*C6</f>
        <v>4.5</v>
      </c>
      <c r="F6" s="241"/>
      <c r="G6" s="241"/>
    </row>
    <row r="7" spans="1:7" s="7" customFormat="1" ht="36.75" customHeight="1">
      <c r="A7" s="64">
        <v>2</v>
      </c>
      <c r="B7" s="265" t="s">
        <v>212</v>
      </c>
      <c r="C7" s="64">
        <v>9.73</v>
      </c>
      <c r="D7" s="240">
        <v>5</v>
      </c>
      <c r="E7" s="240">
        <f>+D7*C7</f>
        <v>48.650000000000006</v>
      </c>
      <c r="F7" s="241"/>
      <c r="G7" s="241"/>
    </row>
    <row r="8" spans="1:7" s="72" customFormat="1" ht="16.5" customHeight="1">
      <c r="A8" s="80" t="s">
        <v>15</v>
      </c>
      <c r="B8" s="81" t="s">
        <v>177</v>
      </c>
      <c r="C8" s="80">
        <v>17</v>
      </c>
      <c r="D8" s="214">
        <f>+D9+D10+D11</f>
        <v>9.5</v>
      </c>
      <c r="E8" s="214">
        <f>+E9+E10+E11+E12</f>
        <v>104.74999999999999</v>
      </c>
      <c r="F8" s="213">
        <f>+E8*$G$36</f>
        <v>99.84680851063828</v>
      </c>
      <c r="G8" s="213"/>
    </row>
    <row r="9" spans="1:7" s="3" customFormat="1" ht="16.5" customHeight="1">
      <c r="A9" s="22">
        <v>1</v>
      </c>
      <c r="B9" s="123" t="s">
        <v>184</v>
      </c>
      <c r="C9" s="69">
        <v>14</v>
      </c>
      <c r="D9" s="215">
        <v>3</v>
      </c>
      <c r="E9" s="215">
        <f>+D9*C9</f>
        <v>42</v>
      </c>
      <c r="F9" s="216"/>
      <c r="G9" s="216"/>
    </row>
    <row r="10" spans="1:7" s="3" customFormat="1" ht="16.5" customHeight="1">
      <c r="A10" s="69">
        <v>2</v>
      </c>
      <c r="B10" s="123" t="s">
        <v>185</v>
      </c>
      <c r="C10" s="69">
        <v>3</v>
      </c>
      <c r="D10" s="215">
        <v>1.5</v>
      </c>
      <c r="E10" s="215">
        <f>+D10*C10</f>
        <v>4.5</v>
      </c>
      <c r="F10" s="216"/>
      <c r="G10" s="216"/>
    </row>
    <row r="11" spans="1:10" s="3" customFormat="1" ht="33.75" customHeight="1">
      <c r="A11" s="69">
        <v>3</v>
      </c>
      <c r="B11" s="265" t="s">
        <v>212</v>
      </c>
      <c r="C11" s="69">
        <v>10.29</v>
      </c>
      <c r="D11" s="215">
        <v>5</v>
      </c>
      <c r="E11" s="215">
        <f>+D11*C11</f>
        <v>51.449999999999996</v>
      </c>
      <c r="F11" s="216"/>
      <c r="G11" s="216"/>
      <c r="J11" s="7"/>
    </row>
    <row r="12" spans="1:7" s="3" customFormat="1" ht="33.75" customHeight="1">
      <c r="A12" s="69">
        <v>4</v>
      </c>
      <c r="B12" s="265" t="s">
        <v>213</v>
      </c>
      <c r="C12" s="69">
        <f>0.2*17</f>
        <v>3.4000000000000004</v>
      </c>
      <c r="D12" s="215">
        <v>2</v>
      </c>
      <c r="E12" s="215">
        <f>+D12*C12</f>
        <v>6.800000000000001</v>
      </c>
      <c r="F12" s="216"/>
      <c r="G12" s="216"/>
    </row>
    <row r="13" spans="1:7" s="150" customFormat="1" ht="16.5" customHeight="1">
      <c r="A13" s="175" t="s">
        <v>12</v>
      </c>
      <c r="B13" s="174" t="s">
        <v>176</v>
      </c>
      <c r="C13" s="175">
        <v>27</v>
      </c>
      <c r="D13" s="217"/>
      <c r="E13" s="214">
        <f>SUM(E14:E18)</f>
        <v>152.95</v>
      </c>
      <c r="F13" s="213">
        <f>+E13*$G$36</f>
        <v>145.79063829787233</v>
      </c>
      <c r="G13" s="213"/>
    </row>
    <row r="14" spans="1:7" s="3" customFormat="1" ht="16.5" customHeight="1">
      <c r="A14" s="64">
        <v>1</v>
      </c>
      <c r="B14" s="123" t="s">
        <v>184</v>
      </c>
      <c r="C14" s="64">
        <v>9</v>
      </c>
      <c r="D14" s="215">
        <v>3</v>
      </c>
      <c r="E14" s="215">
        <f>+D14*C14</f>
        <v>27</v>
      </c>
      <c r="F14" s="216"/>
      <c r="G14" s="216"/>
    </row>
    <row r="15" spans="1:7" s="3" customFormat="1" ht="16.5" customHeight="1">
      <c r="A15" s="22">
        <v>2</v>
      </c>
      <c r="B15" s="123" t="s">
        <v>185</v>
      </c>
      <c r="C15" s="34">
        <v>1</v>
      </c>
      <c r="D15" s="217">
        <v>1.5</v>
      </c>
      <c r="E15" s="215">
        <f>+D15*C15</f>
        <v>1.5</v>
      </c>
      <c r="F15" s="216"/>
      <c r="G15" s="216"/>
    </row>
    <row r="16" spans="1:7" s="3" customFormat="1" ht="16.5" customHeight="1">
      <c r="A16" s="64">
        <v>3</v>
      </c>
      <c r="B16" s="104" t="s">
        <v>186</v>
      </c>
      <c r="C16" s="34">
        <v>17</v>
      </c>
      <c r="D16" s="215">
        <v>1</v>
      </c>
      <c r="E16" s="215">
        <f>+D16*C16</f>
        <v>17</v>
      </c>
      <c r="F16" s="216"/>
      <c r="G16" s="216"/>
    </row>
    <row r="17" spans="1:10" s="3" customFormat="1" ht="34.5" customHeight="1">
      <c r="A17" s="22">
        <v>4</v>
      </c>
      <c r="B17" s="265" t="s">
        <v>212</v>
      </c>
      <c r="C17" s="34">
        <v>20.69</v>
      </c>
      <c r="D17" s="215">
        <v>5</v>
      </c>
      <c r="E17" s="215">
        <f>+D17*C17</f>
        <v>103.45</v>
      </c>
      <c r="F17" s="216"/>
      <c r="G17" s="216"/>
      <c r="J17" s="7"/>
    </row>
    <row r="18" spans="1:7" s="3" customFormat="1" ht="16.5" customHeight="1">
      <c r="A18" s="64">
        <v>5</v>
      </c>
      <c r="B18" s="265" t="s">
        <v>213</v>
      </c>
      <c r="C18" s="34">
        <v>2</v>
      </c>
      <c r="D18" s="215">
        <v>2</v>
      </c>
      <c r="E18" s="215">
        <f>+D18*C18</f>
        <v>4</v>
      </c>
      <c r="F18" s="216"/>
      <c r="G18" s="216"/>
    </row>
    <row r="19" spans="1:7" s="72" customFormat="1" ht="18" customHeight="1">
      <c r="A19" s="177" t="s">
        <v>16</v>
      </c>
      <c r="B19" s="178" t="s">
        <v>179</v>
      </c>
      <c r="C19" s="177">
        <v>12</v>
      </c>
      <c r="D19" s="214"/>
      <c r="E19" s="214">
        <f>SUM(E20:E24)</f>
        <v>97</v>
      </c>
      <c r="F19" s="213">
        <f>+E19*$G$36</f>
        <v>92.45957446808511</v>
      </c>
      <c r="G19" s="213"/>
    </row>
    <row r="20" spans="1:7" s="3" customFormat="1" ht="18" customHeight="1">
      <c r="A20" s="109">
        <v>1</v>
      </c>
      <c r="B20" s="123" t="s">
        <v>184</v>
      </c>
      <c r="C20" s="33">
        <v>4</v>
      </c>
      <c r="D20" s="215">
        <v>3</v>
      </c>
      <c r="E20" s="215">
        <f>+D20*C20</f>
        <v>12</v>
      </c>
      <c r="F20" s="216"/>
      <c r="G20" s="216"/>
    </row>
    <row r="21" spans="1:7" s="3" customFormat="1" ht="18" customHeight="1">
      <c r="A21" s="109">
        <v>2</v>
      </c>
      <c r="B21" s="123" t="s">
        <v>185</v>
      </c>
      <c r="C21" s="33">
        <v>1</v>
      </c>
      <c r="D21" s="215">
        <v>1.5</v>
      </c>
      <c r="E21" s="215">
        <f>+D21*C21</f>
        <v>1.5</v>
      </c>
      <c r="F21" s="216"/>
      <c r="G21" s="216"/>
    </row>
    <row r="22" spans="1:7" s="3" customFormat="1" ht="18" customHeight="1">
      <c r="A22" s="109">
        <v>3</v>
      </c>
      <c r="B22" s="104" t="s">
        <v>186</v>
      </c>
      <c r="C22" s="33">
        <v>7</v>
      </c>
      <c r="D22" s="215">
        <v>1</v>
      </c>
      <c r="E22" s="215">
        <f>+D22*C22</f>
        <v>7</v>
      </c>
      <c r="F22" s="216"/>
      <c r="G22" s="216"/>
    </row>
    <row r="23" spans="1:10" s="3" customFormat="1" ht="34.5" customHeight="1">
      <c r="A23" s="109">
        <v>4</v>
      </c>
      <c r="B23" s="265" t="s">
        <v>212</v>
      </c>
      <c r="C23" s="33">
        <v>14.9</v>
      </c>
      <c r="D23" s="215">
        <v>5</v>
      </c>
      <c r="E23" s="215">
        <f>+D23*C23</f>
        <v>74.5</v>
      </c>
      <c r="F23" s="216"/>
      <c r="G23" s="216"/>
      <c r="J23" s="7"/>
    </row>
    <row r="24" spans="1:7" s="3" customFormat="1" ht="18" customHeight="1">
      <c r="A24" s="109">
        <v>5</v>
      </c>
      <c r="B24" s="265" t="s">
        <v>213</v>
      </c>
      <c r="C24" s="33">
        <v>1</v>
      </c>
      <c r="D24" s="215">
        <v>2</v>
      </c>
      <c r="E24" s="215">
        <f>+D24*C24</f>
        <v>2</v>
      </c>
      <c r="F24" s="216"/>
      <c r="G24" s="216"/>
    </row>
    <row r="25" spans="1:7" s="72" customFormat="1" ht="18" customHeight="1">
      <c r="A25" s="126" t="s">
        <v>19</v>
      </c>
      <c r="B25" s="127" t="s">
        <v>180</v>
      </c>
      <c r="C25" s="38">
        <v>14</v>
      </c>
      <c r="D25" s="214"/>
      <c r="E25" s="214">
        <f>SUM(E26:E30)</f>
        <v>62.15</v>
      </c>
      <c r="F25" s="213">
        <f>+E25*$G$36</f>
        <v>59.24085106382979</v>
      </c>
      <c r="G25" s="213"/>
    </row>
    <row r="26" spans="1:7" s="3" customFormat="1" ht="18" customHeight="1">
      <c r="A26" s="22">
        <v>1</v>
      </c>
      <c r="B26" s="123" t="s">
        <v>184</v>
      </c>
      <c r="C26" s="22">
        <v>1</v>
      </c>
      <c r="D26" s="215">
        <v>3</v>
      </c>
      <c r="E26" s="215">
        <f>+D26*C26</f>
        <v>3</v>
      </c>
      <c r="F26" s="215"/>
      <c r="G26" s="215"/>
    </row>
    <row r="27" spans="1:7" s="3" customFormat="1" ht="18" customHeight="1">
      <c r="A27" s="22">
        <v>2</v>
      </c>
      <c r="B27" s="123" t="s">
        <v>185</v>
      </c>
      <c r="C27" s="22">
        <v>4</v>
      </c>
      <c r="D27" s="215">
        <v>1.5</v>
      </c>
      <c r="E27" s="215">
        <f>+D27*C27</f>
        <v>6</v>
      </c>
      <c r="F27" s="215"/>
      <c r="G27" s="215"/>
    </row>
    <row r="28" spans="1:7" s="3" customFormat="1" ht="16.5" customHeight="1">
      <c r="A28" s="22">
        <v>3</v>
      </c>
      <c r="B28" s="104" t="s">
        <v>186</v>
      </c>
      <c r="C28" s="22">
        <v>9</v>
      </c>
      <c r="D28" s="215">
        <v>1</v>
      </c>
      <c r="E28" s="215">
        <f>+D28*C28</f>
        <v>9</v>
      </c>
      <c r="F28" s="215"/>
      <c r="G28" s="215"/>
    </row>
    <row r="29" spans="1:10" s="3" customFormat="1" ht="35.25" customHeight="1">
      <c r="A29" s="22">
        <v>4</v>
      </c>
      <c r="B29" s="265" t="s">
        <v>212</v>
      </c>
      <c r="C29" s="22">
        <v>8.43</v>
      </c>
      <c r="D29" s="215">
        <v>5</v>
      </c>
      <c r="E29" s="215">
        <f>+D29*C29</f>
        <v>42.15</v>
      </c>
      <c r="F29" s="215"/>
      <c r="G29" s="215"/>
      <c r="J29" s="7"/>
    </row>
    <row r="30" spans="1:7" s="3" customFormat="1" ht="16.5" customHeight="1">
      <c r="A30" s="22">
        <v>5</v>
      </c>
      <c r="B30" s="265" t="s">
        <v>213</v>
      </c>
      <c r="C30" s="22">
        <f>0.2*5</f>
        <v>1</v>
      </c>
      <c r="D30" s="215">
        <v>2</v>
      </c>
      <c r="E30" s="215">
        <f>+D30*C30</f>
        <v>2</v>
      </c>
      <c r="F30" s="215"/>
      <c r="G30" s="215"/>
    </row>
    <row r="31" spans="1:7" s="72" customFormat="1" ht="15">
      <c r="A31" s="235"/>
      <c r="B31" s="132" t="s">
        <v>141</v>
      </c>
      <c r="C31" s="235"/>
      <c r="D31" s="218">
        <f>+D25+D19+D13+D8+D5</f>
        <v>11.5</v>
      </c>
      <c r="E31" s="218">
        <f>+E25+E19+E13+E8+E5</f>
        <v>470</v>
      </c>
      <c r="F31" s="218">
        <f>+F25+F19+F13+F8+F5</f>
        <v>448</v>
      </c>
      <c r="G31" s="218"/>
    </row>
    <row r="32" spans="1:7" s="72" customFormat="1" ht="15">
      <c r="A32" s="234"/>
      <c r="D32" s="233"/>
      <c r="E32" s="233"/>
      <c r="F32" s="233"/>
      <c r="G32" s="233"/>
    </row>
    <row r="33" spans="1:7" s="72" customFormat="1" ht="15">
      <c r="A33" s="234"/>
      <c r="C33" s="750" t="s">
        <v>199</v>
      </c>
      <c r="D33" s="750"/>
      <c r="E33" s="750"/>
      <c r="F33" s="803" t="s">
        <v>198</v>
      </c>
      <c r="G33" s="803"/>
    </row>
    <row r="34" spans="1:7" s="72" customFormat="1" ht="15">
      <c r="A34" s="234"/>
      <c r="C34" s="235" t="s">
        <v>208</v>
      </c>
      <c r="D34" s="235" t="s">
        <v>209</v>
      </c>
      <c r="E34" s="235" t="s">
        <v>193</v>
      </c>
      <c r="F34" s="235" t="s">
        <v>209</v>
      </c>
      <c r="G34" s="235" t="s">
        <v>193</v>
      </c>
    </row>
    <row r="35" spans="2:8" ht="16.5">
      <c r="B35" s="243" t="s">
        <v>141</v>
      </c>
      <c r="C35" s="34">
        <v>896</v>
      </c>
      <c r="D35" s="216">
        <f>+C35*0.5</f>
        <v>448</v>
      </c>
      <c r="E35" s="248">
        <f>+C35*0.5</f>
        <v>448</v>
      </c>
      <c r="F35" s="216">
        <f>+D35</f>
        <v>448</v>
      </c>
      <c r="G35" s="245">
        <f>+E35</f>
        <v>448</v>
      </c>
      <c r="H35" s="4" t="s">
        <v>195</v>
      </c>
    </row>
    <row r="36" spans="1:7" s="3" customFormat="1" ht="16.5">
      <c r="A36" s="116"/>
      <c r="B36" s="243" t="s">
        <v>215</v>
      </c>
      <c r="C36" s="34"/>
      <c r="D36" s="215"/>
      <c r="E36" s="254"/>
      <c r="F36" s="215">
        <f>+D36/5</f>
        <v>0</v>
      </c>
      <c r="G36" s="244">
        <f>+G35/E31</f>
        <v>0.9531914893617022</v>
      </c>
    </row>
  </sheetData>
  <sheetProtection/>
  <mergeCells count="10">
    <mergeCell ref="C33:E33"/>
    <mergeCell ref="F33:G33"/>
    <mergeCell ref="E3:E4"/>
    <mergeCell ref="F3:F4"/>
    <mergeCell ref="G3:G4"/>
    <mergeCell ref="A1:G1"/>
    <mergeCell ref="A3:A4"/>
    <mergeCell ref="B3:B4"/>
    <mergeCell ref="C3:C4"/>
    <mergeCell ref="D3:D4"/>
  </mergeCells>
  <printOptions horizontalCentered="1"/>
  <pageMargins left="0.1968503937007874" right="0.2362204724409449" top="0.1968503937007874" bottom="0.1968503937007874" header="0.2755905511811024" footer="0.5118110236220472"/>
  <pageSetup horizontalDpi="600" verticalDpi="600" orientation="landscape" paperSize="9" r:id="rId1"/>
  <headerFooter differentFirst="1" alignWithMargins="0">
    <oddHeader>&amp;C&amp;P</oddHeader>
  </headerFooter>
</worksheet>
</file>

<file path=xl/worksheets/sheet14.xml><?xml version="1.0" encoding="utf-8"?>
<worksheet xmlns="http://schemas.openxmlformats.org/spreadsheetml/2006/main" xmlns:r="http://schemas.openxmlformats.org/officeDocument/2006/relationships">
  <dimension ref="A1:O65"/>
  <sheetViews>
    <sheetView zoomScalePageLayoutView="0" workbookViewId="0" topLeftCell="A1">
      <pane xSplit="1" ySplit="4" topLeftCell="B53" activePane="bottomRight" state="frozen"/>
      <selection pane="topLeft" activeCell="A1" sqref="A1"/>
      <selection pane="topRight" activeCell="B1" sqref="B1"/>
      <selection pane="bottomLeft" activeCell="A8" sqref="A8"/>
      <selection pane="bottomRight" activeCell="M58" sqref="M58"/>
    </sheetView>
  </sheetViews>
  <sheetFormatPr defaultColWidth="9.00390625" defaultRowHeight="15.75"/>
  <cols>
    <col min="1" max="1" width="4.375" style="3" customWidth="1"/>
    <col min="2" max="2" width="15.625" style="3" customWidth="1"/>
    <col min="3" max="3" width="7.625" style="3" customWidth="1"/>
    <col min="4" max="4" width="7.875" style="3" customWidth="1"/>
    <col min="5" max="5" width="7.125" style="3" customWidth="1"/>
    <col min="6" max="6" width="0.12890625" style="179" customWidth="1"/>
    <col min="7" max="7" width="7.125" style="3" customWidth="1"/>
    <col min="8" max="8" width="9.25390625" style="3" customWidth="1"/>
    <col min="9" max="9" width="8.625" style="117" customWidth="1"/>
    <col min="10" max="10" width="9.25390625" style="249" customWidth="1"/>
    <col min="11" max="11" width="8.75390625" style="116" customWidth="1"/>
    <col min="12" max="15" width="9.00390625" style="3" customWidth="1"/>
  </cols>
  <sheetData>
    <row r="1" spans="1:11" s="3" customFormat="1" ht="21" customHeight="1">
      <c r="A1" s="692" t="s">
        <v>207</v>
      </c>
      <c r="B1" s="692"/>
      <c r="C1" s="692"/>
      <c r="D1" s="692"/>
      <c r="E1" s="692"/>
      <c r="F1" s="692"/>
      <c r="G1" s="692"/>
      <c r="H1" s="692"/>
      <c r="I1" s="692"/>
      <c r="J1" s="692"/>
      <c r="K1" s="692"/>
    </row>
    <row r="2" spans="1:11" s="115" customFormat="1" ht="18">
      <c r="A2" s="737"/>
      <c r="B2" s="737"/>
      <c r="C2" s="737"/>
      <c r="D2" s="737"/>
      <c r="E2" s="737"/>
      <c r="F2" s="737"/>
      <c r="G2" s="737"/>
      <c r="H2" s="737"/>
      <c r="I2" s="737"/>
      <c r="J2" s="737"/>
      <c r="K2" s="737"/>
    </row>
    <row r="3" spans="6:11" s="3" customFormat="1" ht="12.75" customHeight="1">
      <c r="F3" s="179"/>
      <c r="I3" s="117"/>
      <c r="J3" s="249"/>
      <c r="K3" s="116"/>
    </row>
    <row r="4" spans="1:11" s="146" customFormat="1" ht="64.5" customHeight="1">
      <c r="A4" s="142" t="s">
        <v>0</v>
      </c>
      <c r="B4" s="142" t="s">
        <v>24</v>
      </c>
      <c r="C4" s="142" t="s">
        <v>9</v>
      </c>
      <c r="D4" s="143" t="s">
        <v>136</v>
      </c>
      <c r="E4" s="143" t="s">
        <v>138</v>
      </c>
      <c r="F4" s="180"/>
      <c r="G4" s="143" t="s">
        <v>182</v>
      </c>
      <c r="H4" s="143" t="s">
        <v>137</v>
      </c>
      <c r="I4" s="144" t="s">
        <v>140</v>
      </c>
      <c r="J4" s="250" t="s">
        <v>217</v>
      </c>
      <c r="K4" s="143"/>
    </row>
    <row r="5" spans="1:11" s="121" customFormat="1" ht="18.75" customHeight="1">
      <c r="A5" s="110" t="s">
        <v>13</v>
      </c>
      <c r="B5" s="119" t="s">
        <v>178</v>
      </c>
      <c r="C5" s="110">
        <v>3</v>
      </c>
      <c r="D5" s="110">
        <f>SUM(D6:D6)</f>
        <v>0</v>
      </c>
      <c r="E5" s="110">
        <f>SUM(E6:E6)</f>
        <v>2</v>
      </c>
      <c r="F5" s="181"/>
      <c r="G5" s="110"/>
      <c r="H5" s="171">
        <v>29</v>
      </c>
      <c r="I5" s="111">
        <f>SUM(I6:I6)</f>
        <v>4</v>
      </c>
      <c r="J5" s="122">
        <f>+I5*$J$63</f>
        <v>30.07179487179487</v>
      </c>
      <c r="K5" s="120"/>
    </row>
    <row r="6" spans="1:11" s="3" customFormat="1" ht="18.75" customHeight="1">
      <c r="A6" s="64">
        <v>1</v>
      </c>
      <c r="B6" s="70" t="s">
        <v>21</v>
      </c>
      <c r="C6" s="65" t="s">
        <v>13</v>
      </c>
      <c r="D6" s="65"/>
      <c r="E6" s="66">
        <v>2</v>
      </c>
      <c r="F6" s="182"/>
      <c r="G6" s="66">
        <v>2</v>
      </c>
      <c r="H6" s="171">
        <f>+G6*E6+F6</f>
        <v>4</v>
      </c>
      <c r="I6" s="113">
        <f>+D6+H6</f>
        <v>4</v>
      </c>
      <c r="J6" s="109"/>
      <c r="K6" s="67"/>
    </row>
    <row r="7" spans="1:11" s="72" customFormat="1" ht="16.5" customHeight="1">
      <c r="A7" s="80" t="s">
        <v>15</v>
      </c>
      <c r="B7" s="81" t="s">
        <v>177</v>
      </c>
      <c r="C7" s="80">
        <v>17</v>
      </c>
      <c r="D7" s="122">
        <f>SUM(D8:D24)</f>
        <v>140</v>
      </c>
      <c r="E7" s="122">
        <f>SUM(E8:E24)</f>
        <v>103</v>
      </c>
      <c r="F7" s="183"/>
      <c r="G7" s="66">
        <v>15</v>
      </c>
      <c r="H7" s="122">
        <f>SUM(H8:H24)</f>
        <v>22</v>
      </c>
      <c r="I7" s="111">
        <f>SUM(I8:I24)</f>
        <v>162</v>
      </c>
      <c r="J7" s="122">
        <f>+I7*$J$63</f>
        <v>1217.9076923076923</v>
      </c>
      <c r="K7" s="50"/>
    </row>
    <row r="8" spans="1:11" s="3" customFormat="1" ht="16.5" customHeight="1">
      <c r="A8" s="22">
        <v>1</v>
      </c>
      <c r="B8" s="123" t="s">
        <v>26</v>
      </c>
      <c r="C8" s="69" t="s">
        <v>15</v>
      </c>
      <c r="D8" s="69"/>
      <c r="E8" s="185">
        <v>4</v>
      </c>
      <c r="F8" s="185"/>
      <c r="G8" s="66">
        <v>2</v>
      </c>
      <c r="H8" s="64">
        <f>+G8*4</f>
        <v>8</v>
      </c>
      <c r="I8" s="113">
        <f>H8+D8</f>
        <v>8</v>
      </c>
      <c r="J8" s="109"/>
      <c r="K8" s="112"/>
    </row>
    <row r="9" spans="1:11" s="3" customFormat="1" ht="16.5" customHeight="1">
      <c r="A9" s="69">
        <v>2</v>
      </c>
      <c r="B9" s="123" t="s">
        <v>45</v>
      </c>
      <c r="C9" s="69" t="s">
        <v>15</v>
      </c>
      <c r="D9" s="69"/>
      <c r="E9" s="185">
        <v>3</v>
      </c>
      <c r="F9" s="185"/>
      <c r="G9" s="66">
        <v>2</v>
      </c>
      <c r="H9" s="64">
        <f>+G9*3+F9</f>
        <v>6</v>
      </c>
      <c r="I9" s="113">
        <f aca="true" t="shared" si="0" ref="I9:I57">H9+D9</f>
        <v>6</v>
      </c>
      <c r="J9" s="109"/>
      <c r="K9" s="112"/>
    </row>
    <row r="10" spans="1:11" s="3" customFormat="1" ht="16.5" customHeight="1">
      <c r="A10" s="22">
        <v>3</v>
      </c>
      <c r="B10" s="123" t="s">
        <v>44</v>
      </c>
      <c r="C10" s="69" t="s">
        <v>15</v>
      </c>
      <c r="D10" s="69"/>
      <c r="E10" s="185">
        <v>4</v>
      </c>
      <c r="F10" s="185"/>
      <c r="G10" s="66">
        <v>2</v>
      </c>
      <c r="H10" s="64">
        <f>+G10*4</f>
        <v>8</v>
      </c>
      <c r="I10" s="113">
        <f t="shared" si="0"/>
        <v>8</v>
      </c>
      <c r="J10" s="109"/>
      <c r="K10" s="112"/>
    </row>
    <row r="11" spans="1:11" s="3" customFormat="1" ht="16.5" customHeight="1">
      <c r="A11" s="22">
        <v>4</v>
      </c>
      <c r="B11" s="99" t="s">
        <v>144</v>
      </c>
      <c r="C11" s="69" t="s">
        <v>12</v>
      </c>
      <c r="D11" s="69">
        <v>10</v>
      </c>
      <c r="E11" s="33">
        <v>7</v>
      </c>
      <c r="F11" s="185"/>
      <c r="G11" s="66"/>
      <c r="H11" s="64"/>
      <c r="I11" s="113">
        <f t="shared" si="0"/>
        <v>10</v>
      </c>
      <c r="J11" s="109"/>
      <c r="K11" s="124"/>
    </row>
    <row r="12" spans="1:11" s="3" customFormat="1" ht="16.5" customHeight="1">
      <c r="A12" s="69">
        <v>5</v>
      </c>
      <c r="B12" s="99" t="s">
        <v>145</v>
      </c>
      <c r="C12" s="69" t="s">
        <v>12</v>
      </c>
      <c r="D12" s="69">
        <v>10</v>
      </c>
      <c r="E12" s="33">
        <v>8</v>
      </c>
      <c r="F12" s="185"/>
      <c r="G12" s="66"/>
      <c r="H12" s="64"/>
      <c r="I12" s="113">
        <f t="shared" si="0"/>
        <v>10</v>
      </c>
      <c r="J12" s="109"/>
      <c r="K12" s="112"/>
    </row>
    <row r="13" spans="1:11" s="3" customFormat="1" ht="16.5" customHeight="1">
      <c r="A13" s="22">
        <v>6</v>
      </c>
      <c r="B13" s="99" t="s">
        <v>146</v>
      </c>
      <c r="C13" s="69" t="s">
        <v>12</v>
      </c>
      <c r="D13" s="69">
        <v>10</v>
      </c>
      <c r="E13" s="33">
        <v>4</v>
      </c>
      <c r="F13" s="185"/>
      <c r="G13" s="66"/>
      <c r="H13" s="64"/>
      <c r="I13" s="113">
        <f t="shared" si="0"/>
        <v>10</v>
      </c>
      <c r="J13" s="109"/>
      <c r="K13" s="112"/>
    </row>
    <row r="14" spans="1:11" s="3" customFormat="1" ht="16.5" customHeight="1">
      <c r="A14" s="22">
        <v>7</v>
      </c>
      <c r="B14" s="99" t="s">
        <v>147</v>
      </c>
      <c r="C14" s="69" t="s">
        <v>12</v>
      </c>
      <c r="D14" s="69">
        <v>10</v>
      </c>
      <c r="E14" s="33">
        <v>10</v>
      </c>
      <c r="F14" s="185"/>
      <c r="G14" s="66"/>
      <c r="H14" s="64"/>
      <c r="I14" s="113">
        <f t="shared" si="0"/>
        <v>10</v>
      </c>
      <c r="J14" s="122"/>
      <c r="K14" s="112"/>
    </row>
    <row r="15" spans="1:11" s="3" customFormat="1" ht="16.5" customHeight="1">
      <c r="A15" s="69">
        <v>8</v>
      </c>
      <c r="B15" s="99" t="s">
        <v>148</v>
      </c>
      <c r="C15" s="69" t="s">
        <v>12</v>
      </c>
      <c r="D15" s="69">
        <v>10</v>
      </c>
      <c r="E15" s="33">
        <v>4</v>
      </c>
      <c r="F15" s="185"/>
      <c r="G15" s="66"/>
      <c r="H15" s="64"/>
      <c r="I15" s="113">
        <f t="shared" si="0"/>
        <v>10</v>
      </c>
      <c r="J15" s="109"/>
      <c r="K15" s="112"/>
    </row>
    <row r="16" spans="1:11" s="3" customFormat="1" ht="16.5" customHeight="1">
      <c r="A16" s="22">
        <v>9</v>
      </c>
      <c r="B16" s="99" t="s">
        <v>149</v>
      </c>
      <c r="C16" s="69" t="s">
        <v>12</v>
      </c>
      <c r="D16" s="69">
        <v>10</v>
      </c>
      <c r="E16" s="33">
        <v>6</v>
      </c>
      <c r="F16" s="185"/>
      <c r="G16" s="66"/>
      <c r="H16" s="64"/>
      <c r="I16" s="113">
        <f t="shared" si="0"/>
        <v>10</v>
      </c>
      <c r="J16" s="109"/>
      <c r="K16" s="112"/>
    </row>
    <row r="17" spans="1:11" s="3" customFormat="1" ht="16.5" customHeight="1">
      <c r="A17" s="22">
        <v>10</v>
      </c>
      <c r="B17" s="99" t="s">
        <v>150</v>
      </c>
      <c r="C17" s="69" t="s">
        <v>12</v>
      </c>
      <c r="D17" s="69">
        <v>10</v>
      </c>
      <c r="E17" s="33">
        <v>12</v>
      </c>
      <c r="F17" s="185"/>
      <c r="G17" s="66"/>
      <c r="H17" s="64"/>
      <c r="I17" s="113">
        <f t="shared" si="0"/>
        <v>10</v>
      </c>
      <c r="J17" s="109"/>
      <c r="K17" s="112"/>
    </row>
    <row r="18" spans="1:11" s="3" customFormat="1" ht="16.5" customHeight="1">
      <c r="A18" s="69">
        <v>11</v>
      </c>
      <c r="B18" s="99" t="s">
        <v>151</v>
      </c>
      <c r="C18" s="69" t="s">
        <v>12</v>
      </c>
      <c r="D18" s="69">
        <v>10</v>
      </c>
      <c r="E18" s="33">
        <v>6</v>
      </c>
      <c r="F18" s="185"/>
      <c r="G18" s="66"/>
      <c r="H18" s="64"/>
      <c r="I18" s="113">
        <f t="shared" si="0"/>
        <v>10</v>
      </c>
      <c r="J18" s="109"/>
      <c r="K18" s="112"/>
    </row>
    <row r="19" spans="1:11" s="3" customFormat="1" ht="16.5" customHeight="1">
      <c r="A19" s="22">
        <v>12</v>
      </c>
      <c r="B19" s="99" t="s">
        <v>152</v>
      </c>
      <c r="C19" s="69" t="s">
        <v>12</v>
      </c>
      <c r="D19" s="69">
        <v>10</v>
      </c>
      <c r="E19" s="33">
        <v>6</v>
      </c>
      <c r="F19" s="185"/>
      <c r="G19" s="66"/>
      <c r="H19" s="64"/>
      <c r="I19" s="113">
        <f t="shared" si="0"/>
        <v>10</v>
      </c>
      <c r="J19" s="109"/>
      <c r="K19" s="112"/>
    </row>
    <row r="20" spans="1:11" s="3" customFormat="1" ht="16.5" customHeight="1">
      <c r="A20" s="22">
        <v>13</v>
      </c>
      <c r="B20" s="99" t="s">
        <v>153</v>
      </c>
      <c r="C20" s="69" t="s">
        <v>12</v>
      </c>
      <c r="D20" s="69">
        <v>10</v>
      </c>
      <c r="E20" s="33">
        <v>6</v>
      </c>
      <c r="F20" s="185"/>
      <c r="G20" s="66"/>
      <c r="H20" s="64"/>
      <c r="I20" s="113">
        <f t="shared" si="0"/>
        <v>10</v>
      </c>
      <c r="J20" s="109"/>
      <c r="K20" s="112"/>
    </row>
    <row r="21" spans="1:11" s="3" customFormat="1" ht="16.5" customHeight="1">
      <c r="A21" s="69">
        <v>14</v>
      </c>
      <c r="B21" s="99" t="s">
        <v>154</v>
      </c>
      <c r="C21" s="69" t="s">
        <v>12</v>
      </c>
      <c r="D21" s="69">
        <v>10</v>
      </c>
      <c r="E21" s="33">
        <v>4</v>
      </c>
      <c r="F21" s="185"/>
      <c r="G21" s="66"/>
      <c r="H21" s="64"/>
      <c r="I21" s="113">
        <f t="shared" si="0"/>
        <v>10</v>
      </c>
      <c r="J21" s="109"/>
      <c r="K21" s="112"/>
    </row>
    <row r="22" spans="1:11" s="3" customFormat="1" ht="16.5" customHeight="1">
      <c r="A22" s="22">
        <v>15</v>
      </c>
      <c r="B22" s="99" t="s">
        <v>155</v>
      </c>
      <c r="C22" s="69" t="s">
        <v>12</v>
      </c>
      <c r="D22" s="69">
        <v>10</v>
      </c>
      <c r="E22" s="33">
        <v>9</v>
      </c>
      <c r="F22" s="185"/>
      <c r="G22" s="66"/>
      <c r="H22" s="64"/>
      <c r="I22" s="113">
        <f t="shared" si="0"/>
        <v>10</v>
      </c>
      <c r="J22" s="109"/>
      <c r="K22" s="112"/>
    </row>
    <row r="23" spans="1:11" s="3" customFormat="1" ht="16.5" customHeight="1">
      <c r="A23" s="22">
        <v>16</v>
      </c>
      <c r="B23" s="99" t="s">
        <v>156</v>
      </c>
      <c r="C23" s="69" t="s">
        <v>12</v>
      </c>
      <c r="D23" s="69">
        <v>10</v>
      </c>
      <c r="E23" s="33">
        <v>6</v>
      </c>
      <c r="F23" s="185"/>
      <c r="G23" s="66"/>
      <c r="H23" s="64"/>
      <c r="I23" s="113">
        <f t="shared" si="0"/>
        <v>10</v>
      </c>
      <c r="J23" s="109"/>
      <c r="K23" s="112"/>
    </row>
    <row r="24" spans="1:11" s="3" customFormat="1" ht="16.5" customHeight="1">
      <c r="A24" s="69">
        <v>17</v>
      </c>
      <c r="B24" s="99" t="s">
        <v>157</v>
      </c>
      <c r="C24" s="69" t="s">
        <v>12</v>
      </c>
      <c r="D24" s="69">
        <v>10</v>
      </c>
      <c r="E24" s="33">
        <v>4</v>
      </c>
      <c r="F24" s="185"/>
      <c r="G24" s="66"/>
      <c r="H24" s="64"/>
      <c r="I24" s="113">
        <f t="shared" si="0"/>
        <v>10</v>
      </c>
      <c r="J24" s="109"/>
      <c r="K24" s="112"/>
    </row>
    <row r="25" spans="1:12" s="150" customFormat="1" ht="16.5" customHeight="1">
      <c r="A25" s="173" t="s">
        <v>12</v>
      </c>
      <c r="B25" s="174" t="s">
        <v>176</v>
      </c>
      <c r="C25" s="175">
        <v>27</v>
      </c>
      <c r="D25" s="175">
        <f>SUM(D26:D40)</f>
        <v>90</v>
      </c>
      <c r="E25" s="175">
        <f>SUM(E26:E40)</f>
        <v>79</v>
      </c>
      <c r="F25" s="186"/>
      <c r="G25" s="66"/>
      <c r="H25" s="175">
        <f>SUM(H26:H40)</f>
        <v>24</v>
      </c>
      <c r="I25" s="6">
        <f>SUM(I26:I40)</f>
        <v>114</v>
      </c>
      <c r="J25" s="122">
        <f>+I25*$J$63</f>
        <v>857.0461538461539</v>
      </c>
      <c r="K25" s="176"/>
      <c r="L25" s="150">
        <v>12</v>
      </c>
    </row>
    <row r="26" spans="1:11" s="3" customFormat="1" ht="16.5" customHeight="1">
      <c r="A26" s="64">
        <v>1</v>
      </c>
      <c r="B26" s="102" t="s">
        <v>158</v>
      </c>
      <c r="C26" s="64" t="s">
        <v>12</v>
      </c>
      <c r="D26" s="69">
        <v>10</v>
      </c>
      <c r="E26" s="66">
        <v>5</v>
      </c>
      <c r="F26" s="182"/>
      <c r="G26" s="66"/>
      <c r="H26" s="64"/>
      <c r="I26" s="113">
        <f t="shared" si="0"/>
        <v>10</v>
      </c>
      <c r="J26" s="109"/>
      <c r="K26" s="64"/>
    </row>
    <row r="27" spans="1:11" s="3" customFormat="1" ht="16.5" customHeight="1">
      <c r="A27" s="22">
        <v>2</v>
      </c>
      <c r="B27" s="103" t="s">
        <v>159</v>
      </c>
      <c r="C27" s="64" t="s">
        <v>12</v>
      </c>
      <c r="D27" s="69">
        <v>10</v>
      </c>
      <c r="E27" s="68">
        <v>4</v>
      </c>
      <c r="F27" s="187"/>
      <c r="G27" s="66"/>
      <c r="H27" s="64"/>
      <c r="I27" s="113">
        <f t="shared" si="0"/>
        <v>10</v>
      </c>
      <c r="J27" s="109"/>
      <c r="K27" s="22"/>
    </row>
    <row r="28" spans="1:11" s="3" customFormat="1" ht="16.5" customHeight="1">
      <c r="A28" s="64">
        <v>3</v>
      </c>
      <c r="B28" s="104" t="s">
        <v>160</v>
      </c>
      <c r="C28" s="64" t="s">
        <v>12</v>
      </c>
      <c r="D28" s="69">
        <v>10</v>
      </c>
      <c r="E28" s="68">
        <v>8</v>
      </c>
      <c r="F28" s="187"/>
      <c r="G28" s="66"/>
      <c r="H28" s="64"/>
      <c r="I28" s="113">
        <f t="shared" si="0"/>
        <v>10</v>
      </c>
      <c r="J28" s="109"/>
      <c r="K28" s="22"/>
    </row>
    <row r="29" spans="1:11" s="3" customFormat="1" ht="16.5" customHeight="1">
      <c r="A29" s="22">
        <v>4</v>
      </c>
      <c r="B29" s="104" t="s">
        <v>161</v>
      </c>
      <c r="C29" s="64" t="s">
        <v>12</v>
      </c>
      <c r="D29" s="69">
        <v>10</v>
      </c>
      <c r="E29" s="68">
        <v>12</v>
      </c>
      <c r="F29" s="187"/>
      <c r="G29" s="66"/>
      <c r="H29" s="64"/>
      <c r="I29" s="113">
        <f t="shared" si="0"/>
        <v>10</v>
      </c>
      <c r="J29" s="122"/>
      <c r="K29" s="22"/>
    </row>
    <row r="30" spans="1:11" s="3" customFormat="1" ht="16.5" customHeight="1">
      <c r="A30" s="64">
        <v>5</v>
      </c>
      <c r="B30" s="102" t="s">
        <v>162</v>
      </c>
      <c r="C30" s="64" t="s">
        <v>12</v>
      </c>
      <c r="D30" s="69">
        <v>10</v>
      </c>
      <c r="E30" s="68">
        <v>7</v>
      </c>
      <c r="F30" s="187"/>
      <c r="G30" s="66"/>
      <c r="H30" s="64"/>
      <c r="I30" s="113">
        <f t="shared" si="0"/>
        <v>10</v>
      </c>
      <c r="J30" s="109"/>
      <c r="K30" s="22"/>
    </row>
    <row r="31" spans="1:11" s="3" customFormat="1" ht="16.5" customHeight="1">
      <c r="A31" s="22">
        <v>6</v>
      </c>
      <c r="B31" s="103" t="s">
        <v>163</v>
      </c>
      <c r="C31" s="64" t="s">
        <v>12</v>
      </c>
      <c r="D31" s="69">
        <v>10</v>
      </c>
      <c r="E31" s="68">
        <v>6</v>
      </c>
      <c r="F31" s="187"/>
      <c r="G31" s="66"/>
      <c r="H31" s="64"/>
      <c r="I31" s="113">
        <f t="shared" si="0"/>
        <v>10</v>
      </c>
      <c r="J31" s="109"/>
      <c r="K31" s="22"/>
    </row>
    <row r="32" spans="1:11" s="3" customFormat="1" ht="16.5" customHeight="1">
      <c r="A32" s="64">
        <v>7</v>
      </c>
      <c r="B32" s="102" t="s">
        <v>164</v>
      </c>
      <c r="C32" s="64" t="s">
        <v>12</v>
      </c>
      <c r="D32" s="69">
        <v>10</v>
      </c>
      <c r="E32" s="68">
        <v>5</v>
      </c>
      <c r="F32" s="187"/>
      <c r="G32" s="66"/>
      <c r="H32" s="64"/>
      <c r="I32" s="113">
        <f t="shared" si="0"/>
        <v>10</v>
      </c>
      <c r="J32" s="109"/>
      <c r="K32" s="22"/>
    </row>
    <row r="33" spans="1:11" s="3" customFormat="1" ht="16.5" customHeight="1">
      <c r="A33" s="22">
        <v>8</v>
      </c>
      <c r="B33" s="102" t="s">
        <v>165</v>
      </c>
      <c r="C33" s="64" t="s">
        <v>12</v>
      </c>
      <c r="D33" s="69">
        <v>10</v>
      </c>
      <c r="E33" s="68">
        <v>13</v>
      </c>
      <c r="F33" s="187"/>
      <c r="G33" s="66"/>
      <c r="H33" s="64"/>
      <c r="I33" s="113">
        <f t="shared" si="0"/>
        <v>10</v>
      </c>
      <c r="J33" s="109"/>
      <c r="K33" s="22"/>
    </row>
    <row r="34" spans="1:11" s="3" customFormat="1" ht="16.5" customHeight="1">
      <c r="A34" s="64">
        <v>9</v>
      </c>
      <c r="B34" s="102" t="s">
        <v>166</v>
      </c>
      <c r="C34" s="64" t="s">
        <v>12</v>
      </c>
      <c r="D34" s="69">
        <v>10</v>
      </c>
      <c r="E34" s="68">
        <v>7</v>
      </c>
      <c r="F34" s="187"/>
      <c r="G34" s="66"/>
      <c r="H34" s="64"/>
      <c r="I34" s="113">
        <f t="shared" si="0"/>
        <v>10</v>
      </c>
      <c r="J34" s="109"/>
      <c r="K34" s="22"/>
    </row>
    <row r="35" spans="1:11" s="3" customFormat="1" ht="16.5" customHeight="1">
      <c r="A35" s="22">
        <v>10</v>
      </c>
      <c r="B35" s="71" t="s">
        <v>90</v>
      </c>
      <c r="C35" s="22" t="s">
        <v>15</v>
      </c>
      <c r="D35" s="69"/>
      <c r="E35" s="68">
        <v>4</v>
      </c>
      <c r="F35" s="187"/>
      <c r="G35" s="66">
        <v>2</v>
      </c>
      <c r="H35" s="171">
        <f aca="true" t="shared" si="1" ref="H35:H40">+G35*E35+F35</f>
        <v>8</v>
      </c>
      <c r="I35" s="113">
        <f t="shared" si="0"/>
        <v>8</v>
      </c>
      <c r="J35" s="109"/>
      <c r="K35" s="22"/>
    </row>
    <row r="36" spans="1:11" s="3" customFormat="1" ht="16.5" customHeight="1">
      <c r="A36" s="64">
        <v>11</v>
      </c>
      <c r="B36" s="71" t="s">
        <v>89</v>
      </c>
      <c r="C36" s="22" t="s">
        <v>13</v>
      </c>
      <c r="D36" s="69"/>
      <c r="E36" s="88">
        <v>2</v>
      </c>
      <c r="F36" s="266"/>
      <c r="G36" s="66">
        <v>2</v>
      </c>
      <c r="H36" s="171">
        <f t="shared" si="1"/>
        <v>4</v>
      </c>
      <c r="I36" s="113">
        <f t="shared" si="0"/>
        <v>4</v>
      </c>
      <c r="J36" s="109"/>
      <c r="K36" s="22"/>
    </row>
    <row r="37" spans="1:11" s="3" customFormat="1" ht="16.5" customHeight="1">
      <c r="A37" s="22">
        <v>12</v>
      </c>
      <c r="B37" s="71" t="s">
        <v>91</v>
      </c>
      <c r="C37" s="22" t="s">
        <v>13</v>
      </c>
      <c r="D37" s="69"/>
      <c r="E37" s="88">
        <v>1</v>
      </c>
      <c r="F37" s="266"/>
      <c r="G37" s="66">
        <v>2</v>
      </c>
      <c r="H37" s="171">
        <f t="shared" si="1"/>
        <v>2</v>
      </c>
      <c r="I37" s="113">
        <f t="shared" si="0"/>
        <v>2</v>
      </c>
      <c r="J37" s="109"/>
      <c r="K37" s="22"/>
    </row>
    <row r="38" spans="1:11" s="3" customFormat="1" ht="16.5" customHeight="1">
      <c r="A38" s="64">
        <v>13</v>
      </c>
      <c r="B38" s="71" t="s">
        <v>92</v>
      </c>
      <c r="C38" s="22" t="s">
        <v>13</v>
      </c>
      <c r="D38" s="69"/>
      <c r="E38" s="88">
        <v>1</v>
      </c>
      <c r="F38" s="266"/>
      <c r="G38" s="66">
        <v>2</v>
      </c>
      <c r="H38" s="171">
        <f t="shared" si="1"/>
        <v>2</v>
      </c>
      <c r="I38" s="113">
        <f t="shared" si="0"/>
        <v>2</v>
      </c>
      <c r="J38" s="109"/>
      <c r="K38" s="22"/>
    </row>
    <row r="39" spans="1:11" s="3" customFormat="1" ht="16.5" customHeight="1">
      <c r="A39" s="22">
        <v>14</v>
      </c>
      <c r="B39" s="71" t="s">
        <v>93</v>
      </c>
      <c r="C39" s="22" t="s">
        <v>13</v>
      </c>
      <c r="D39" s="69"/>
      <c r="E39" s="88">
        <v>3</v>
      </c>
      <c r="F39" s="266"/>
      <c r="G39" s="66">
        <v>2</v>
      </c>
      <c r="H39" s="171">
        <f t="shared" si="1"/>
        <v>6</v>
      </c>
      <c r="I39" s="113">
        <f t="shared" si="0"/>
        <v>6</v>
      </c>
      <c r="J39" s="109"/>
      <c r="K39" s="22"/>
    </row>
    <row r="40" spans="1:11" s="3" customFormat="1" ht="16.5" customHeight="1">
      <c r="A40" s="64">
        <v>15</v>
      </c>
      <c r="B40" s="71" t="s">
        <v>94</v>
      </c>
      <c r="C40" s="22" t="s">
        <v>13</v>
      </c>
      <c r="D40" s="69"/>
      <c r="E40" s="88">
        <v>1</v>
      </c>
      <c r="F40" s="266"/>
      <c r="G40" s="66">
        <v>2</v>
      </c>
      <c r="H40" s="171">
        <f t="shared" si="1"/>
        <v>2</v>
      </c>
      <c r="I40" s="113">
        <f t="shared" si="0"/>
        <v>2</v>
      </c>
      <c r="J40" s="109"/>
      <c r="K40" s="22"/>
    </row>
    <row r="41" spans="1:12" s="72" customFormat="1" ht="16.5" customHeight="1">
      <c r="A41" s="177" t="s">
        <v>16</v>
      </c>
      <c r="B41" s="178" t="s">
        <v>179</v>
      </c>
      <c r="C41" s="177">
        <v>12</v>
      </c>
      <c r="D41" s="177">
        <f>SUM(D42:D49)</f>
        <v>40</v>
      </c>
      <c r="E41" s="177">
        <f>SUM(E42:E49)</f>
        <v>65</v>
      </c>
      <c r="F41" s="190"/>
      <c r="G41" s="66"/>
      <c r="H41" s="177">
        <f>SUM(H42:H49)</f>
        <v>28</v>
      </c>
      <c r="I41" s="6">
        <f>SUM(I42:I49)</f>
        <v>68</v>
      </c>
      <c r="J41" s="122">
        <f>+I41*$J$63</f>
        <v>511.2205128205128</v>
      </c>
      <c r="K41" s="6"/>
      <c r="L41" s="72">
        <v>14</v>
      </c>
    </row>
    <row r="42" spans="1:11" s="3" customFormat="1" ht="16.5" customHeight="1">
      <c r="A42" s="109">
        <v>1</v>
      </c>
      <c r="B42" s="105" t="s">
        <v>167</v>
      </c>
      <c r="C42" s="33" t="s">
        <v>12</v>
      </c>
      <c r="D42" s="69">
        <v>10</v>
      </c>
      <c r="E42" s="33">
        <v>11</v>
      </c>
      <c r="F42" s="185"/>
      <c r="G42" s="66"/>
      <c r="H42" s="64"/>
      <c r="I42" s="113">
        <f t="shared" si="0"/>
        <v>10</v>
      </c>
      <c r="J42" s="109"/>
      <c r="K42" s="114"/>
    </row>
    <row r="43" spans="1:11" s="3" customFormat="1" ht="16.5" customHeight="1">
      <c r="A43" s="109">
        <v>2</v>
      </c>
      <c r="B43" s="105" t="s">
        <v>168</v>
      </c>
      <c r="C43" s="33" t="s">
        <v>12</v>
      </c>
      <c r="D43" s="69">
        <v>10</v>
      </c>
      <c r="E43" s="33">
        <v>14</v>
      </c>
      <c r="F43" s="185"/>
      <c r="G43" s="66"/>
      <c r="H43" s="64"/>
      <c r="I43" s="113">
        <f t="shared" si="0"/>
        <v>10</v>
      </c>
      <c r="J43" s="109"/>
      <c r="K43" s="114"/>
    </row>
    <row r="44" spans="1:11" s="3" customFormat="1" ht="16.5" customHeight="1">
      <c r="A44" s="109">
        <v>3</v>
      </c>
      <c r="B44" s="105" t="s">
        <v>169</v>
      </c>
      <c r="C44" s="33" t="s">
        <v>12</v>
      </c>
      <c r="D44" s="69">
        <v>10</v>
      </c>
      <c r="E44" s="33">
        <v>13</v>
      </c>
      <c r="F44" s="185"/>
      <c r="G44" s="66"/>
      <c r="H44" s="64"/>
      <c r="I44" s="113">
        <f t="shared" si="0"/>
        <v>10</v>
      </c>
      <c r="J44" s="109"/>
      <c r="K44" s="114"/>
    </row>
    <row r="45" spans="1:11" s="3" customFormat="1" ht="16.5" customHeight="1">
      <c r="A45" s="109">
        <v>4</v>
      </c>
      <c r="B45" s="105" t="s">
        <v>170</v>
      </c>
      <c r="C45" s="33" t="s">
        <v>12</v>
      </c>
      <c r="D45" s="69">
        <v>10</v>
      </c>
      <c r="E45" s="33">
        <v>13</v>
      </c>
      <c r="F45" s="185"/>
      <c r="G45" s="66"/>
      <c r="H45" s="64"/>
      <c r="I45" s="113">
        <f t="shared" si="0"/>
        <v>10</v>
      </c>
      <c r="J45" s="109"/>
      <c r="K45" s="114"/>
    </row>
    <row r="46" spans="1:11" s="3" customFormat="1" ht="16.5" customHeight="1">
      <c r="A46" s="109">
        <v>5</v>
      </c>
      <c r="B46" s="125" t="s">
        <v>85</v>
      </c>
      <c r="C46" s="33" t="s">
        <v>15</v>
      </c>
      <c r="D46" s="69"/>
      <c r="E46" s="33">
        <v>3</v>
      </c>
      <c r="F46" s="185"/>
      <c r="G46" s="66">
        <v>2</v>
      </c>
      <c r="H46" s="64">
        <f>+G46*E46+F46</f>
        <v>6</v>
      </c>
      <c r="I46" s="113">
        <f t="shared" si="0"/>
        <v>6</v>
      </c>
      <c r="J46" s="109"/>
      <c r="K46" s="114"/>
    </row>
    <row r="47" spans="1:11" s="3" customFormat="1" ht="16.5" customHeight="1">
      <c r="A47" s="109">
        <v>6</v>
      </c>
      <c r="B47" s="125" t="s">
        <v>86</v>
      </c>
      <c r="C47" s="33" t="s">
        <v>13</v>
      </c>
      <c r="D47" s="69"/>
      <c r="E47" s="33">
        <v>4</v>
      </c>
      <c r="F47" s="185"/>
      <c r="G47" s="66">
        <v>2</v>
      </c>
      <c r="H47" s="64">
        <f>+G47*E47+F47</f>
        <v>8</v>
      </c>
      <c r="I47" s="113">
        <f t="shared" si="0"/>
        <v>8</v>
      </c>
      <c r="J47" s="109"/>
      <c r="K47" s="114"/>
    </row>
    <row r="48" spans="1:11" s="3" customFormat="1" ht="16.5" customHeight="1">
      <c r="A48" s="109">
        <v>11</v>
      </c>
      <c r="B48" s="125" t="s">
        <v>88</v>
      </c>
      <c r="C48" s="33" t="s">
        <v>13</v>
      </c>
      <c r="D48" s="69"/>
      <c r="E48" s="33">
        <v>4</v>
      </c>
      <c r="F48" s="185"/>
      <c r="G48" s="66">
        <v>2</v>
      </c>
      <c r="H48" s="64">
        <f>+G48*E48+F48</f>
        <v>8</v>
      </c>
      <c r="I48" s="113">
        <f t="shared" si="0"/>
        <v>8</v>
      </c>
      <c r="J48" s="109"/>
      <c r="K48" s="114"/>
    </row>
    <row r="49" spans="1:11" s="141" customFormat="1" ht="16.5" customHeight="1">
      <c r="A49" s="136">
        <v>12</v>
      </c>
      <c r="B49" s="137" t="s">
        <v>87</v>
      </c>
      <c r="C49" s="138"/>
      <c r="D49" s="139"/>
      <c r="E49" s="138">
        <v>3</v>
      </c>
      <c r="F49" s="267"/>
      <c r="G49" s="66">
        <v>2</v>
      </c>
      <c r="H49" s="64">
        <f>+G49*E49+F49</f>
        <v>6</v>
      </c>
      <c r="I49" s="113">
        <f t="shared" si="0"/>
        <v>6</v>
      </c>
      <c r="J49" s="109"/>
      <c r="K49" s="140"/>
    </row>
    <row r="50" spans="1:12" s="72" customFormat="1" ht="16.5" customHeight="1">
      <c r="A50" s="126" t="s">
        <v>19</v>
      </c>
      <c r="B50" s="127" t="s">
        <v>180</v>
      </c>
      <c r="C50" s="128">
        <v>14</v>
      </c>
      <c r="D50" s="38">
        <f>SUM(D51:D57)</f>
        <v>10</v>
      </c>
      <c r="E50" s="38">
        <f>SUM(E51:E57)</f>
        <v>26</v>
      </c>
      <c r="F50" s="192"/>
      <c r="G50" s="66"/>
      <c r="H50" s="129">
        <f>SUM(H51:H57)</f>
        <v>32</v>
      </c>
      <c r="I50" s="111">
        <f>SUM(I51:I57)</f>
        <v>42</v>
      </c>
      <c r="J50" s="122">
        <f>+I50*$J$63</f>
        <v>315.75384615384615</v>
      </c>
      <c r="K50" s="130"/>
      <c r="L50" s="72">
        <v>16</v>
      </c>
    </row>
    <row r="51" spans="1:11" s="3" customFormat="1" ht="16.5" customHeight="1">
      <c r="A51" s="22">
        <v>1</v>
      </c>
      <c r="B51" s="71" t="s">
        <v>54</v>
      </c>
      <c r="C51" s="34" t="s">
        <v>12</v>
      </c>
      <c r="D51" s="69">
        <v>10</v>
      </c>
      <c r="E51" s="35">
        <v>10</v>
      </c>
      <c r="F51" s="193"/>
      <c r="G51" s="66"/>
      <c r="H51" s="64"/>
      <c r="I51" s="113">
        <f t="shared" si="0"/>
        <v>10</v>
      </c>
      <c r="J51" s="109"/>
      <c r="K51" s="131"/>
    </row>
    <row r="52" spans="1:11" s="3" customFormat="1" ht="16.5" customHeight="1">
      <c r="A52" s="22">
        <v>2</v>
      </c>
      <c r="B52" s="71" t="s">
        <v>23</v>
      </c>
      <c r="C52" s="34" t="s">
        <v>15</v>
      </c>
      <c r="D52" s="69"/>
      <c r="E52" s="35">
        <v>4</v>
      </c>
      <c r="F52" s="193"/>
      <c r="G52" s="66">
        <v>2</v>
      </c>
      <c r="H52" s="64">
        <f aca="true" t="shared" si="2" ref="H52:H57">+G52*E52+F52</f>
        <v>8</v>
      </c>
      <c r="I52" s="113">
        <f t="shared" si="0"/>
        <v>8</v>
      </c>
      <c r="J52" s="109"/>
      <c r="K52" s="131"/>
    </row>
    <row r="53" spans="1:11" s="3" customFormat="1" ht="16.5" customHeight="1">
      <c r="A53" s="22">
        <v>3</v>
      </c>
      <c r="B53" s="71" t="s">
        <v>55</v>
      </c>
      <c r="C53" s="34" t="s">
        <v>15</v>
      </c>
      <c r="D53" s="69"/>
      <c r="E53" s="35">
        <v>4</v>
      </c>
      <c r="F53" s="193"/>
      <c r="G53" s="66">
        <v>2</v>
      </c>
      <c r="H53" s="64">
        <f t="shared" si="2"/>
        <v>8</v>
      </c>
      <c r="I53" s="113">
        <f t="shared" si="0"/>
        <v>8</v>
      </c>
      <c r="J53" s="109"/>
      <c r="K53" s="131"/>
    </row>
    <row r="54" spans="1:11" s="3" customFormat="1" ht="16.5" customHeight="1">
      <c r="A54" s="22">
        <v>4</v>
      </c>
      <c r="B54" s="71" t="s">
        <v>56</v>
      </c>
      <c r="C54" s="34" t="s">
        <v>15</v>
      </c>
      <c r="D54" s="69"/>
      <c r="E54" s="35">
        <v>3</v>
      </c>
      <c r="F54" s="193"/>
      <c r="G54" s="66">
        <v>2</v>
      </c>
      <c r="H54" s="64">
        <f t="shared" si="2"/>
        <v>6</v>
      </c>
      <c r="I54" s="113">
        <f t="shared" si="0"/>
        <v>6</v>
      </c>
      <c r="J54" s="109"/>
      <c r="K54" s="131"/>
    </row>
    <row r="55" spans="1:11" s="3" customFormat="1" ht="16.5" customHeight="1">
      <c r="A55" s="22">
        <v>5</v>
      </c>
      <c r="B55" s="71" t="s">
        <v>57</v>
      </c>
      <c r="C55" s="34" t="s">
        <v>15</v>
      </c>
      <c r="D55" s="69"/>
      <c r="E55" s="35">
        <v>2</v>
      </c>
      <c r="F55" s="193"/>
      <c r="G55" s="66">
        <v>2</v>
      </c>
      <c r="H55" s="64">
        <f t="shared" si="2"/>
        <v>4</v>
      </c>
      <c r="I55" s="113">
        <f t="shared" si="0"/>
        <v>4</v>
      </c>
      <c r="J55" s="109"/>
      <c r="K55" s="131"/>
    </row>
    <row r="56" spans="1:11" s="3" customFormat="1" ht="16.5" customHeight="1">
      <c r="A56" s="22">
        <v>6</v>
      </c>
      <c r="B56" s="71" t="s">
        <v>38</v>
      </c>
      <c r="C56" s="34" t="s">
        <v>13</v>
      </c>
      <c r="D56" s="69"/>
      <c r="E56" s="35">
        <v>1</v>
      </c>
      <c r="F56" s="193"/>
      <c r="G56" s="66">
        <v>2</v>
      </c>
      <c r="H56" s="64">
        <f t="shared" si="2"/>
        <v>2</v>
      </c>
      <c r="I56" s="113">
        <f t="shared" si="0"/>
        <v>2</v>
      </c>
      <c r="J56" s="109"/>
      <c r="K56" s="131"/>
    </row>
    <row r="57" spans="1:11" s="3" customFormat="1" ht="16.5" customHeight="1">
      <c r="A57" s="22">
        <v>7</v>
      </c>
      <c r="B57" s="71" t="s">
        <v>58</v>
      </c>
      <c r="C57" s="34" t="s">
        <v>13</v>
      </c>
      <c r="D57" s="69"/>
      <c r="E57" s="35">
        <v>2</v>
      </c>
      <c r="F57" s="193"/>
      <c r="G57" s="66">
        <v>2</v>
      </c>
      <c r="H57" s="64">
        <f t="shared" si="2"/>
        <v>4</v>
      </c>
      <c r="I57" s="113">
        <f t="shared" si="0"/>
        <v>4</v>
      </c>
      <c r="J57" s="109"/>
      <c r="K57" s="131"/>
    </row>
    <row r="58" spans="1:15" s="1" customFormat="1" ht="15">
      <c r="A58" s="72"/>
      <c r="B58" s="132" t="s">
        <v>130</v>
      </c>
      <c r="C58" s="132"/>
      <c r="D58" s="132"/>
      <c r="E58" s="133">
        <f aca="true" t="shared" si="3" ref="E58:J58">+E50+E41+E25+E7+E5</f>
        <v>275</v>
      </c>
      <c r="F58" s="195"/>
      <c r="G58" s="133"/>
      <c r="H58" s="134">
        <f t="shared" si="3"/>
        <v>135</v>
      </c>
      <c r="I58" s="135">
        <f t="shared" si="3"/>
        <v>390</v>
      </c>
      <c r="J58" s="230">
        <f t="shared" si="3"/>
        <v>2932</v>
      </c>
      <c r="K58" s="135"/>
      <c r="L58" s="72"/>
      <c r="M58" s="72"/>
      <c r="N58" s="72"/>
      <c r="O58" s="72"/>
    </row>
    <row r="59" spans="1:15" s="1" customFormat="1" ht="15">
      <c r="A59" s="72"/>
      <c r="B59" s="257"/>
      <c r="C59" s="257"/>
      <c r="D59" s="257"/>
      <c r="E59" s="258"/>
      <c r="F59" s="259"/>
      <c r="G59" s="258"/>
      <c r="H59" s="260"/>
      <c r="I59" s="261"/>
      <c r="J59" s="262"/>
      <c r="K59" s="261"/>
      <c r="L59" s="72"/>
      <c r="M59" s="72"/>
      <c r="N59" s="72"/>
      <c r="O59" s="72"/>
    </row>
    <row r="60" spans="5:11" ht="15">
      <c r="E60" s="813" t="s">
        <v>202</v>
      </c>
      <c r="F60" s="813"/>
      <c r="G60" s="813"/>
      <c r="H60" s="813"/>
      <c r="I60" s="814" t="s">
        <v>205</v>
      </c>
      <c r="J60" s="814"/>
      <c r="K60" s="3"/>
    </row>
    <row r="61" spans="3:11" ht="15">
      <c r="C61" s="196"/>
      <c r="D61" s="196"/>
      <c r="E61" s="750" t="s">
        <v>206</v>
      </c>
      <c r="F61" s="750"/>
      <c r="G61" s="235" t="s">
        <v>203</v>
      </c>
      <c r="H61" s="135" t="s">
        <v>204</v>
      </c>
      <c r="I61" s="235" t="s">
        <v>203</v>
      </c>
      <c r="J61" s="230" t="s">
        <v>204</v>
      </c>
      <c r="K61" s="3"/>
    </row>
    <row r="62" spans="3:10" ht="15">
      <c r="C62" s="780" t="s">
        <v>141</v>
      </c>
      <c r="D62" s="780"/>
      <c r="E62" s="811">
        <v>4107</v>
      </c>
      <c r="F62" s="811"/>
      <c r="G62" s="395">
        <v>1175</v>
      </c>
      <c r="H62" s="251">
        <f>+E62-G62</f>
        <v>2932</v>
      </c>
      <c r="I62" s="252">
        <f>+G62</f>
        <v>1175</v>
      </c>
      <c r="J62" s="216">
        <f>+H62</f>
        <v>2932</v>
      </c>
    </row>
    <row r="63" spans="2:10" ht="15">
      <c r="B63" s="197"/>
      <c r="C63" s="780" t="s">
        <v>142</v>
      </c>
      <c r="D63" s="780"/>
      <c r="E63" s="812"/>
      <c r="F63" s="812"/>
      <c r="G63" s="242"/>
      <c r="H63" s="242"/>
      <c r="I63" s="252"/>
      <c r="J63" s="253">
        <f>+J62/I58</f>
        <v>7.517948717948718</v>
      </c>
    </row>
    <row r="64" ht="15">
      <c r="B64" s="197"/>
    </row>
    <row r="65" ht="15">
      <c r="B65" s="197"/>
    </row>
  </sheetData>
  <sheetProtection/>
  <mergeCells count="9">
    <mergeCell ref="A1:K1"/>
    <mergeCell ref="A2:K2"/>
    <mergeCell ref="E61:F61"/>
    <mergeCell ref="E62:F62"/>
    <mergeCell ref="E63:F63"/>
    <mergeCell ref="E60:H60"/>
    <mergeCell ref="I60:J60"/>
    <mergeCell ref="C62:D62"/>
    <mergeCell ref="C63:D63"/>
  </mergeCells>
  <printOptions/>
  <pageMargins left="0.196850393700787" right="0.236220472440945" top="0.196850393700787" bottom="0.196850393700787" header="0.275590551181102" footer="0.511811023622047"/>
  <pageSetup horizontalDpi="600" verticalDpi="600" orientation="landscape" paperSize="9" r:id="rId1"/>
  <headerFooter differentFirst="1" alignWithMargins="0">
    <oddHeader>&amp;C&amp;P</oddHeader>
  </headerFooter>
</worksheet>
</file>

<file path=xl/worksheets/sheet15.xml><?xml version="1.0" encoding="utf-8"?>
<worksheet xmlns="http://schemas.openxmlformats.org/spreadsheetml/2006/main" xmlns:r="http://schemas.openxmlformats.org/officeDocument/2006/relationships">
  <dimension ref="A1:M58"/>
  <sheetViews>
    <sheetView zoomScalePageLayoutView="0" workbookViewId="0" topLeftCell="A1">
      <pane xSplit="1" ySplit="4" topLeftCell="B14" activePane="bottomRight" state="frozen"/>
      <selection pane="topLeft" activeCell="A1" sqref="A1"/>
      <selection pane="topRight" activeCell="B1" sqref="B1"/>
      <selection pane="bottomLeft" activeCell="A8" sqref="A8"/>
      <selection pane="bottomRight" activeCell="M6" sqref="M6"/>
    </sheetView>
  </sheetViews>
  <sheetFormatPr defaultColWidth="9.00390625" defaultRowHeight="15.75"/>
  <cols>
    <col min="1" max="1" width="6.25390625" style="116" customWidth="1"/>
    <col min="2" max="2" width="15.625" style="3" customWidth="1"/>
    <col min="3" max="3" width="10.00390625" style="3" customWidth="1"/>
    <col min="4" max="4" width="9.625" style="211" customWidth="1"/>
    <col min="5" max="5" width="11.00390625" style="211" customWidth="1"/>
    <col min="6" max="6" width="10.875" style="211" customWidth="1"/>
    <col min="7" max="7" width="9.00390625" style="211" customWidth="1"/>
    <col min="8" max="8" width="11.125" style="0" customWidth="1"/>
    <col min="10" max="10" width="9.00390625" style="393" customWidth="1"/>
  </cols>
  <sheetData>
    <row r="1" spans="1:7" ht="21" customHeight="1">
      <c r="A1" s="692" t="s">
        <v>143</v>
      </c>
      <c r="B1" s="692"/>
      <c r="C1" s="692"/>
      <c r="D1" s="692"/>
      <c r="E1" s="692"/>
      <c r="F1" s="692"/>
      <c r="G1" s="692"/>
    </row>
    <row r="2" ht="12.75" customHeight="1"/>
    <row r="3" spans="1:9" ht="19.5" customHeight="1">
      <c r="A3" s="809" t="s">
        <v>0</v>
      </c>
      <c r="B3" s="809" t="s">
        <v>24</v>
      </c>
      <c r="C3" s="809" t="s">
        <v>9</v>
      </c>
      <c r="D3" s="810" t="s">
        <v>194</v>
      </c>
      <c r="E3" s="808" t="s">
        <v>192</v>
      </c>
      <c r="F3" s="808"/>
      <c r="G3" s="808" t="s">
        <v>191</v>
      </c>
      <c r="H3" s="808"/>
      <c r="I3" s="815" t="s">
        <v>140</v>
      </c>
    </row>
    <row r="4" spans="1:10" s="147" customFormat="1" ht="36" customHeight="1">
      <c r="A4" s="809"/>
      <c r="B4" s="809"/>
      <c r="C4" s="809"/>
      <c r="D4" s="810"/>
      <c r="E4" s="236" t="s">
        <v>140</v>
      </c>
      <c r="F4" s="237" t="s">
        <v>201</v>
      </c>
      <c r="G4" s="210" t="s">
        <v>200</v>
      </c>
      <c r="H4" s="559" t="s">
        <v>599</v>
      </c>
      <c r="I4" s="816"/>
      <c r="J4" s="394" t="s">
        <v>141</v>
      </c>
    </row>
    <row r="5" spans="1:11" s="7" customFormat="1" ht="18.75" customHeight="1">
      <c r="A5" s="110" t="s">
        <v>13</v>
      </c>
      <c r="B5" s="119" t="s">
        <v>178</v>
      </c>
      <c r="C5" s="110">
        <v>3</v>
      </c>
      <c r="D5" s="212">
        <v>2</v>
      </c>
      <c r="E5" s="212">
        <v>6</v>
      </c>
      <c r="F5" s="213">
        <f>+E5*$H$33</f>
        <v>3.102599179206566</v>
      </c>
      <c r="G5" s="213">
        <v>20</v>
      </c>
      <c r="H5" s="246">
        <f>+G5*$H$33</f>
        <v>10.341997264021888</v>
      </c>
      <c r="I5" s="392">
        <f>+E5+G5</f>
        <v>26</v>
      </c>
      <c r="J5" s="392">
        <f>+I5*$H$33</f>
        <v>13.444596443228454</v>
      </c>
      <c r="K5" s="392">
        <f>+F5+H5</f>
        <v>13.444596443228454</v>
      </c>
    </row>
    <row r="6" spans="1:10" s="7" customFormat="1" ht="18.75" customHeight="1">
      <c r="A6" s="64">
        <v>1</v>
      </c>
      <c r="B6" s="238" t="s">
        <v>186</v>
      </c>
      <c r="C6" s="64">
        <v>3</v>
      </c>
      <c r="D6" s="240">
        <v>2</v>
      </c>
      <c r="E6" s="240">
        <v>6</v>
      </c>
      <c r="F6" s="241"/>
      <c r="G6" s="241"/>
      <c r="H6" s="247"/>
      <c r="J6" s="392"/>
    </row>
    <row r="7" spans="1:10" s="7" customFormat="1" ht="18.75" customHeight="1">
      <c r="A7" s="64">
        <v>2</v>
      </c>
      <c r="B7" s="239" t="s">
        <v>191</v>
      </c>
      <c r="C7" s="64">
        <v>20</v>
      </c>
      <c r="D7" s="240">
        <v>1</v>
      </c>
      <c r="E7" s="240"/>
      <c r="F7" s="241"/>
      <c r="G7" s="241">
        <v>20</v>
      </c>
      <c r="H7" s="247"/>
      <c r="J7" s="392"/>
    </row>
    <row r="8" spans="1:11" s="72" customFormat="1" ht="16.5" customHeight="1">
      <c r="A8" s="80" t="s">
        <v>15</v>
      </c>
      <c r="B8" s="81" t="s">
        <v>177</v>
      </c>
      <c r="C8" s="80">
        <v>17</v>
      </c>
      <c r="D8" s="214">
        <f>+D9+D10+D11</f>
        <v>8</v>
      </c>
      <c r="E8" s="214">
        <f>+E9+E10+E11</f>
        <v>65</v>
      </c>
      <c r="F8" s="213">
        <f>+E8*$H$33</f>
        <v>33.611491108071135</v>
      </c>
      <c r="G8" s="213">
        <v>110</v>
      </c>
      <c r="H8" s="246">
        <f>+G8*$H$33</f>
        <v>56.88098495212038</v>
      </c>
      <c r="I8" s="392">
        <f>+E8+G8</f>
        <v>175</v>
      </c>
      <c r="J8" s="392">
        <f>+I8*$H$33</f>
        <v>90.4924760601915</v>
      </c>
      <c r="K8" s="392">
        <f>+F8+H8</f>
        <v>90.4924760601915</v>
      </c>
    </row>
    <row r="9" spans="1:10" s="3" customFormat="1" ht="16.5" customHeight="1">
      <c r="A9" s="22">
        <v>1</v>
      </c>
      <c r="B9" s="123" t="s">
        <v>184</v>
      </c>
      <c r="C9" s="69">
        <v>14</v>
      </c>
      <c r="D9" s="215">
        <v>4</v>
      </c>
      <c r="E9" s="215">
        <f>+D9*C9</f>
        <v>56</v>
      </c>
      <c r="F9" s="216"/>
      <c r="G9" s="216"/>
      <c r="H9" s="248"/>
      <c r="J9" s="329"/>
    </row>
    <row r="10" spans="1:10" s="3" customFormat="1" ht="16.5" customHeight="1">
      <c r="A10" s="69">
        <v>2</v>
      </c>
      <c r="B10" s="123" t="s">
        <v>185</v>
      </c>
      <c r="C10" s="69">
        <v>3</v>
      </c>
      <c r="D10" s="215">
        <v>3</v>
      </c>
      <c r="E10" s="215">
        <f>+D10*C10</f>
        <v>9</v>
      </c>
      <c r="F10" s="216"/>
      <c r="G10" s="216"/>
      <c r="H10" s="248"/>
      <c r="J10" s="329"/>
    </row>
    <row r="11" spans="1:10" s="3" customFormat="1" ht="16.5" customHeight="1">
      <c r="A11" s="69">
        <v>3</v>
      </c>
      <c r="B11" s="123" t="s">
        <v>191</v>
      </c>
      <c r="C11" s="69">
        <v>110</v>
      </c>
      <c r="D11" s="215">
        <v>1</v>
      </c>
      <c r="E11" s="215"/>
      <c r="F11" s="216"/>
      <c r="G11" s="216">
        <v>110</v>
      </c>
      <c r="H11" s="248"/>
      <c r="J11" s="329"/>
    </row>
    <row r="12" spans="1:11" s="150" customFormat="1" ht="16.5" customHeight="1">
      <c r="A12" s="175" t="s">
        <v>12</v>
      </c>
      <c r="B12" s="174" t="s">
        <v>176</v>
      </c>
      <c r="C12" s="175">
        <v>27</v>
      </c>
      <c r="D12" s="217"/>
      <c r="E12" s="214">
        <f>+E13+E14+E15</f>
        <v>73</v>
      </c>
      <c r="F12" s="213">
        <f>+E12*$H$33</f>
        <v>37.748290013679885</v>
      </c>
      <c r="G12" s="213">
        <v>219</v>
      </c>
      <c r="H12" s="246">
        <f>+G12*$H$33</f>
        <v>113.24487004103966</v>
      </c>
      <c r="I12" s="392">
        <f>+E12+G12</f>
        <v>292</v>
      </c>
      <c r="J12" s="392">
        <f>+I12*$H$33</f>
        <v>150.99316005471954</v>
      </c>
      <c r="K12" s="392">
        <f>+F12+H12</f>
        <v>150.99316005471954</v>
      </c>
    </row>
    <row r="13" spans="1:10" s="3" customFormat="1" ht="16.5" customHeight="1">
      <c r="A13" s="64">
        <v>1</v>
      </c>
      <c r="B13" s="123" t="s">
        <v>184</v>
      </c>
      <c r="C13" s="64">
        <v>9</v>
      </c>
      <c r="D13" s="215">
        <v>4</v>
      </c>
      <c r="E13" s="215">
        <f>+D13*C13</f>
        <v>36</v>
      </c>
      <c r="F13" s="216"/>
      <c r="G13" s="216"/>
      <c r="H13" s="248"/>
      <c r="J13" s="329"/>
    </row>
    <row r="14" spans="1:10" s="3" customFormat="1" ht="16.5" customHeight="1">
      <c r="A14" s="22">
        <v>2</v>
      </c>
      <c r="B14" s="123" t="s">
        <v>185</v>
      </c>
      <c r="C14" s="34">
        <v>1</v>
      </c>
      <c r="D14" s="215">
        <v>3</v>
      </c>
      <c r="E14" s="215">
        <f>+D14*C14</f>
        <v>3</v>
      </c>
      <c r="F14" s="216"/>
      <c r="G14" s="216"/>
      <c r="H14" s="248"/>
      <c r="J14" s="329"/>
    </row>
    <row r="15" spans="1:10" s="3" customFormat="1" ht="16.5" customHeight="1">
      <c r="A15" s="64">
        <v>3</v>
      </c>
      <c r="B15" s="104" t="s">
        <v>186</v>
      </c>
      <c r="C15" s="34">
        <v>17</v>
      </c>
      <c r="D15" s="215">
        <v>2</v>
      </c>
      <c r="E15" s="215">
        <f>+D15*C15</f>
        <v>34</v>
      </c>
      <c r="F15" s="216"/>
      <c r="G15" s="216"/>
      <c r="H15" s="248"/>
      <c r="J15" s="329"/>
    </row>
    <row r="16" spans="1:10" s="3" customFormat="1" ht="16.5" customHeight="1">
      <c r="A16" s="64">
        <v>4</v>
      </c>
      <c r="B16" s="104" t="s">
        <v>191</v>
      </c>
      <c r="C16" s="34">
        <v>219</v>
      </c>
      <c r="D16" s="215">
        <v>1</v>
      </c>
      <c r="E16" s="215"/>
      <c r="F16" s="216"/>
      <c r="G16" s="216">
        <v>219</v>
      </c>
      <c r="H16" s="248"/>
      <c r="J16" s="329"/>
    </row>
    <row r="17" spans="1:11" s="72" customFormat="1" ht="18" customHeight="1">
      <c r="A17" s="177" t="s">
        <v>16</v>
      </c>
      <c r="B17" s="178" t="s">
        <v>179</v>
      </c>
      <c r="C17" s="177">
        <v>12</v>
      </c>
      <c r="D17" s="214"/>
      <c r="E17" s="214">
        <f>+E18+E19+E20</f>
        <v>33</v>
      </c>
      <c r="F17" s="213">
        <f>+E17*$H$33</f>
        <v>17.064295485636112</v>
      </c>
      <c r="G17" s="213">
        <v>73</v>
      </c>
      <c r="H17" s="246">
        <f>+G17*$H$33</f>
        <v>37.748290013679885</v>
      </c>
      <c r="I17" s="392">
        <f>+E17+G17</f>
        <v>106</v>
      </c>
      <c r="J17" s="392">
        <f>+I17*$H$33</f>
        <v>54.812585499316</v>
      </c>
      <c r="K17" s="392">
        <f>+F17+H17</f>
        <v>54.812585499316</v>
      </c>
    </row>
    <row r="18" spans="1:10" s="3" customFormat="1" ht="18" customHeight="1">
      <c r="A18" s="109">
        <v>1</v>
      </c>
      <c r="B18" s="123" t="s">
        <v>184</v>
      </c>
      <c r="C18" s="33">
        <v>4</v>
      </c>
      <c r="D18" s="215">
        <v>4</v>
      </c>
      <c r="E18" s="215">
        <f>+D18*C18</f>
        <v>16</v>
      </c>
      <c r="F18" s="216"/>
      <c r="G18" s="216"/>
      <c r="H18" s="248"/>
      <c r="J18" s="329"/>
    </row>
    <row r="19" spans="1:10" s="3" customFormat="1" ht="18" customHeight="1">
      <c r="A19" s="109">
        <v>2</v>
      </c>
      <c r="B19" s="123" t="s">
        <v>185</v>
      </c>
      <c r="C19" s="33">
        <v>1</v>
      </c>
      <c r="D19" s="215">
        <v>3</v>
      </c>
      <c r="E19" s="215">
        <f>+D19*C19</f>
        <v>3</v>
      </c>
      <c r="F19" s="216"/>
      <c r="G19" s="216"/>
      <c r="H19" s="248"/>
      <c r="J19" s="329"/>
    </row>
    <row r="20" spans="1:10" s="3" customFormat="1" ht="18" customHeight="1">
      <c r="A20" s="109">
        <v>3</v>
      </c>
      <c r="B20" s="104" t="s">
        <v>186</v>
      </c>
      <c r="C20" s="33">
        <v>7</v>
      </c>
      <c r="D20" s="215">
        <v>2</v>
      </c>
      <c r="E20" s="215">
        <f>+D20*C20</f>
        <v>14</v>
      </c>
      <c r="F20" s="216"/>
      <c r="G20" s="216"/>
      <c r="H20" s="248"/>
      <c r="J20" s="329"/>
    </row>
    <row r="21" spans="1:10" s="3" customFormat="1" ht="18" customHeight="1">
      <c r="A21" s="109">
        <v>4</v>
      </c>
      <c r="B21" s="104" t="s">
        <v>191</v>
      </c>
      <c r="C21" s="33">
        <v>73</v>
      </c>
      <c r="D21" s="215">
        <v>1</v>
      </c>
      <c r="E21" s="215"/>
      <c r="F21" s="216"/>
      <c r="G21" s="216">
        <v>73</v>
      </c>
      <c r="H21" s="248"/>
      <c r="J21" s="329"/>
    </row>
    <row r="22" spans="1:11" s="72" customFormat="1" ht="18" customHeight="1">
      <c r="A22" s="126" t="s">
        <v>19</v>
      </c>
      <c r="B22" s="127" t="s">
        <v>180</v>
      </c>
      <c r="C22" s="38">
        <v>14</v>
      </c>
      <c r="D22" s="214"/>
      <c r="E22" s="214">
        <f>+E23+E24+E25</f>
        <v>34</v>
      </c>
      <c r="F22" s="213">
        <f>+E22*$H$33</f>
        <v>17.58139534883721</v>
      </c>
      <c r="G22" s="213">
        <v>98</v>
      </c>
      <c r="H22" s="246">
        <f>+G22*$H$33</f>
        <v>50.675786593707244</v>
      </c>
      <c r="I22" s="392">
        <f>+E22+G22</f>
        <v>132</v>
      </c>
      <c r="J22" s="392">
        <f>+I22*$H$33</f>
        <v>68.25718194254445</v>
      </c>
      <c r="K22" s="392">
        <f>+F22+H22</f>
        <v>68.25718194254445</v>
      </c>
    </row>
    <row r="23" spans="1:10" s="3" customFormat="1" ht="18" customHeight="1">
      <c r="A23" s="22">
        <v>1</v>
      </c>
      <c r="B23" s="123" t="s">
        <v>184</v>
      </c>
      <c r="C23" s="22">
        <v>1</v>
      </c>
      <c r="D23" s="215">
        <v>4</v>
      </c>
      <c r="E23" s="215">
        <f>+D23*C23</f>
        <v>4</v>
      </c>
      <c r="F23" s="215"/>
      <c r="G23" s="215"/>
      <c r="H23" s="248"/>
      <c r="J23" s="329"/>
    </row>
    <row r="24" spans="1:10" s="3" customFormat="1" ht="18" customHeight="1">
      <c r="A24" s="22">
        <v>2</v>
      </c>
      <c r="B24" s="123" t="s">
        <v>185</v>
      </c>
      <c r="C24" s="22">
        <v>4</v>
      </c>
      <c r="D24" s="215">
        <v>3</v>
      </c>
      <c r="E24" s="215">
        <f>+D24*C24</f>
        <v>12</v>
      </c>
      <c r="F24" s="215"/>
      <c r="G24" s="215"/>
      <c r="H24" s="248"/>
      <c r="J24" s="329"/>
    </row>
    <row r="25" spans="1:10" s="3" customFormat="1" ht="16.5" customHeight="1">
      <c r="A25" s="22">
        <v>3</v>
      </c>
      <c r="B25" s="104" t="s">
        <v>186</v>
      </c>
      <c r="C25" s="22">
        <v>9</v>
      </c>
      <c r="D25" s="215">
        <v>2</v>
      </c>
      <c r="E25" s="215">
        <f>+D25*C25</f>
        <v>18</v>
      </c>
      <c r="F25" s="215"/>
      <c r="G25" s="215"/>
      <c r="H25" s="248"/>
      <c r="J25" s="329"/>
    </row>
    <row r="26" spans="1:10" s="3" customFormat="1" ht="16.5" customHeight="1">
      <c r="A26" s="22">
        <v>4</v>
      </c>
      <c r="B26" s="104" t="s">
        <v>191</v>
      </c>
      <c r="C26" s="22">
        <v>98</v>
      </c>
      <c r="D26" s="215"/>
      <c r="E26" s="215"/>
      <c r="F26" s="215"/>
      <c r="G26" s="215">
        <v>98</v>
      </c>
      <c r="H26" s="248"/>
      <c r="J26" s="329"/>
    </row>
    <row r="27" spans="1:11" s="72" customFormat="1" ht="16.5" customHeight="1">
      <c r="A27" s="38" t="s">
        <v>35</v>
      </c>
      <c r="B27" s="255" t="s">
        <v>218</v>
      </c>
      <c r="C27" s="38"/>
      <c r="D27" s="214"/>
      <c r="E27" s="214"/>
      <c r="F27" s="214"/>
      <c r="G27" s="214"/>
      <c r="H27" s="246">
        <f>+G27*$H$33</f>
        <v>0</v>
      </c>
      <c r="I27" s="392">
        <f>+E27+G27</f>
        <v>0</v>
      </c>
      <c r="J27" s="392">
        <f>+I27*$H$33</f>
        <v>0</v>
      </c>
      <c r="K27" s="392">
        <f>+F27+H27</f>
        <v>0</v>
      </c>
    </row>
    <row r="28" spans="1:10" s="3" customFormat="1" ht="16.5" customHeight="1">
      <c r="A28" s="22">
        <v>1</v>
      </c>
      <c r="B28" s="104" t="s">
        <v>191</v>
      </c>
      <c r="C28" s="22">
        <v>5</v>
      </c>
      <c r="D28" s="215"/>
      <c r="E28" s="215"/>
      <c r="F28" s="215"/>
      <c r="G28" s="215"/>
      <c r="H28" s="248"/>
      <c r="J28" s="329"/>
    </row>
    <row r="29" spans="1:12" s="72" customFormat="1" ht="15">
      <c r="A29" s="235"/>
      <c r="B29" s="132" t="s">
        <v>141</v>
      </c>
      <c r="C29" s="235"/>
      <c r="D29" s="218">
        <f>+D22+D17+D12+D8+D5</f>
        <v>10</v>
      </c>
      <c r="E29" s="218">
        <f>+E22+E17+E12+E8+E5</f>
        <v>211</v>
      </c>
      <c r="F29" s="415">
        <f>+F22+F17+F12+F8+F5</f>
        <v>109.1080711354309</v>
      </c>
      <c r="G29" s="218">
        <f>+G22+G17+G12+G8+G5+G27</f>
        <v>520</v>
      </c>
      <c r="H29" s="415">
        <f>+H22+H17+H12+H8+H5+H27</f>
        <v>268.891928864569</v>
      </c>
      <c r="I29" s="218">
        <f>+I22+I17+I12+I8+I5+I27</f>
        <v>731</v>
      </c>
      <c r="J29" s="291"/>
      <c r="L29" s="291"/>
    </row>
    <row r="30" spans="1:10" s="72" customFormat="1" ht="15">
      <c r="A30" s="234"/>
      <c r="D30" s="233"/>
      <c r="E30" s="233"/>
      <c r="F30" s="233"/>
      <c r="G30" s="233"/>
      <c r="J30" s="291"/>
    </row>
    <row r="31" spans="1:10" s="72" customFormat="1" ht="15">
      <c r="A31" s="234"/>
      <c r="C31" s="750" t="s">
        <v>199</v>
      </c>
      <c r="D31" s="750"/>
      <c r="E31" s="750"/>
      <c r="F31" s="803" t="s">
        <v>202</v>
      </c>
      <c r="G31" s="803"/>
      <c r="H31" s="255" t="s">
        <v>210</v>
      </c>
      <c r="J31" s="291"/>
    </row>
    <row r="32" spans="1:10" s="72" customFormat="1" ht="15">
      <c r="A32" s="234"/>
      <c r="C32" s="235" t="s">
        <v>208</v>
      </c>
      <c r="D32" s="235" t="s">
        <v>209</v>
      </c>
      <c r="E32" s="235" t="s">
        <v>193</v>
      </c>
      <c r="F32" s="235" t="s">
        <v>209</v>
      </c>
      <c r="G32" s="235" t="s">
        <v>193</v>
      </c>
      <c r="H32" s="255"/>
      <c r="J32" s="291"/>
    </row>
    <row r="33" spans="2:9" ht="16.5">
      <c r="B33" s="243" t="s">
        <v>196</v>
      </c>
      <c r="C33" s="34">
        <v>1891</v>
      </c>
      <c r="D33" s="216">
        <f>+C33*0.8</f>
        <v>1512.8000000000002</v>
      </c>
      <c r="E33" s="248">
        <f>+C33*0.2</f>
        <v>378.20000000000005</v>
      </c>
      <c r="F33" s="216">
        <f>+D33/5</f>
        <v>302.56000000000006</v>
      </c>
      <c r="G33" s="245">
        <v>378</v>
      </c>
      <c r="H33" s="256">
        <f>+G33/I29</f>
        <v>0.5170998632010944</v>
      </c>
      <c r="I33" s="4" t="s">
        <v>195</v>
      </c>
    </row>
    <row r="34" spans="1:13" s="3" customFormat="1" ht="16.5">
      <c r="A34" s="116"/>
      <c r="B34" s="243"/>
      <c r="C34" s="34"/>
      <c r="D34" s="216"/>
      <c r="E34" s="248"/>
      <c r="F34" s="216"/>
      <c r="G34" s="245"/>
      <c r="H34" s="256"/>
      <c r="J34" s="329"/>
      <c r="M34" s="494">
        <f>E33/C33</f>
        <v>0.2</v>
      </c>
    </row>
    <row r="51" spans="2:8" ht="15">
      <c r="B51" s="242"/>
      <c r="C51" s="242"/>
      <c r="D51" s="215"/>
      <c r="E51" s="217" t="s">
        <v>402</v>
      </c>
      <c r="F51" s="215">
        <f>C52*0.8</f>
        <v>15105.6</v>
      </c>
      <c r="G51" s="215"/>
      <c r="H51" s="412">
        <v>15100</v>
      </c>
    </row>
    <row r="52" spans="2:8" ht="15">
      <c r="B52" s="243" t="s">
        <v>316</v>
      </c>
      <c r="C52" s="242">
        <v>18882</v>
      </c>
      <c r="D52" s="215"/>
      <c r="E52" s="217" t="s">
        <v>223</v>
      </c>
      <c r="F52" s="215">
        <f>C52*0.2</f>
        <v>3776.4</v>
      </c>
      <c r="G52" s="215"/>
      <c r="H52" s="412">
        <f>C52-H51</f>
        <v>3782</v>
      </c>
    </row>
    <row r="53" spans="2:8" ht="15">
      <c r="B53" s="242"/>
      <c r="C53" s="242"/>
      <c r="D53" s="215"/>
      <c r="E53" s="215"/>
      <c r="F53" s="215"/>
      <c r="G53" s="215"/>
      <c r="H53" s="334"/>
    </row>
    <row r="54" spans="2:8" ht="15">
      <c r="B54" s="243" t="s">
        <v>401</v>
      </c>
      <c r="C54" s="412">
        <v>5800</v>
      </c>
      <c r="D54" s="215"/>
      <c r="E54" s="413">
        <v>2690</v>
      </c>
      <c r="F54" s="215"/>
      <c r="G54" s="215"/>
      <c r="H54" s="334">
        <f>SUM(C54:G54)</f>
        <v>8490</v>
      </c>
    </row>
    <row r="55" spans="2:8" ht="15">
      <c r="B55" s="243" t="s">
        <v>403</v>
      </c>
      <c r="C55" s="242">
        <v>1200</v>
      </c>
      <c r="D55" s="215"/>
      <c r="E55" s="413">
        <v>0</v>
      </c>
      <c r="F55" s="215"/>
      <c r="G55" s="215"/>
      <c r="H55" s="334">
        <f>SUM(C55:G55)</f>
        <v>1200</v>
      </c>
    </row>
    <row r="56" spans="2:8" ht="32.25" customHeight="1">
      <c r="B56" s="414" t="s">
        <v>404</v>
      </c>
      <c r="C56" s="412">
        <f>H51-C54-C55</f>
        <v>8100</v>
      </c>
      <c r="D56" s="215"/>
      <c r="E56" s="413">
        <v>1092</v>
      </c>
      <c r="F56" s="215"/>
      <c r="G56" s="215"/>
      <c r="H56" s="334">
        <f>SUM(C56:G56)</f>
        <v>9192</v>
      </c>
    </row>
    <row r="57" spans="2:8" ht="15">
      <c r="B57" s="242"/>
      <c r="C57" s="242"/>
      <c r="D57" s="215"/>
      <c r="E57" s="215"/>
      <c r="F57" s="215"/>
      <c r="G57" s="215"/>
      <c r="H57" s="334"/>
    </row>
    <row r="58" spans="2:8" ht="15">
      <c r="B58" s="242"/>
      <c r="C58" s="242"/>
      <c r="D58" s="215"/>
      <c r="E58" s="215">
        <f>SUM(E54:E57)</f>
        <v>3782</v>
      </c>
      <c r="F58" s="215"/>
      <c r="G58" s="215"/>
      <c r="H58" s="332">
        <f>SUM(H54:H57)</f>
        <v>18882</v>
      </c>
    </row>
  </sheetData>
  <sheetProtection/>
  <mergeCells count="10">
    <mergeCell ref="I3:I4"/>
    <mergeCell ref="C31:E31"/>
    <mergeCell ref="F31:G31"/>
    <mergeCell ref="A1:G1"/>
    <mergeCell ref="E3:F3"/>
    <mergeCell ref="G3:H3"/>
    <mergeCell ref="D3:D4"/>
    <mergeCell ref="C3:C4"/>
    <mergeCell ref="B3:B4"/>
    <mergeCell ref="A3:A4"/>
  </mergeCells>
  <printOptions horizontalCentered="1"/>
  <pageMargins left="0.1968503937007874" right="0.2362204724409449" top="0.1968503937007874" bottom="0.1968503937007874" header="0.2755905511811024" footer="0.5118110236220472"/>
  <pageSetup horizontalDpi="600" verticalDpi="600" orientation="landscape" paperSize="9" r:id="rId1"/>
  <headerFooter differentFirst="1" alignWithMargins="0">
    <oddHeader>&amp;C&amp;P</oddHeader>
  </headerFooter>
</worksheet>
</file>

<file path=xl/worksheets/sheet16.xml><?xml version="1.0" encoding="utf-8"?>
<worksheet xmlns="http://schemas.openxmlformats.org/spreadsheetml/2006/main" xmlns:r="http://schemas.openxmlformats.org/officeDocument/2006/relationships">
  <dimension ref="A1:J25"/>
  <sheetViews>
    <sheetView zoomScalePageLayoutView="0" workbookViewId="0" topLeftCell="A1">
      <pane xSplit="1" ySplit="4" topLeftCell="B8" activePane="bottomRight" state="frozen"/>
      <selection pane="topLeft" activeCell="A1" sqref="A1"/>
      <selection pane="topRight" activeCell="B1" sqref="B1"/>
      <selection pane="bottomLeft" activeCell="A8" sqref="A8"/>
      <selection pane="bottomRight" activeCell="I24" sqref="I24"/>
    </sheetView>
  </sheetViews>
  <sheetFormatPr defaultColWidth="9.00390625" defaultRowHeight="15.75"/>
  <cols>
    <col min="1" max="1" width="4.375" style="3" customWidth="1"/>
    <col min="2" max="2" width="15.625" style="3" customWidth="1"/>
    <col min="3" max="3" width="10.875" style="116" customWidth="1"/>
    <col min="4" max="4" width="11.125" style="116" customWidth="1"/>
    <col min="5" max="5" width="12.875" style="116" customWidth="1"/>
    <col min="6" max="6" width="11.625" style="116" customWidth="1"/>
    <col min="7" max="10" width="9.00390625" style="3" customWidth="1"/>
  </cols>
  <sheetData>
    <row r="1" spans="1:6" ht="21" customHeight="1">
      <c r="A1" s="692" t="s">
        <v>197</v>
      </c>
      <c r="B1" s="692"/>
      <c r="C1" s="692"/>
      <c r="D1" s="692"/>
      <c r="E1" s="692"/>
      <c r="F1" s="692"/>
    </row>
    <row r="2" spans="1:10" s="86" customFormat="1" ht="18">
      <c r="A2" s="231"/>
      <c r="B2" s="231"/>
      <c r="C2" s="209"/>
      <c r="D2" s="209"/>
      <c r="E2" s="209"/>
      <c r="F2" s="209"/>
      <c r="G2" s="115"/>
      <c r="H2" s="115"/>
      <c r="I2" s="115"/>
      <c r="J2" s="115"/>
    </row>
    <row r="3" ht="12.75" customHeight="1"/>
    <row r="4" spans="1:10" s="147" customFormat="1" ht="54.75" customHeight="1">
      <c r="A4" s="142" t="s">
        <v>0</v>
      </c>
      <c r="B4" s="142" t="s">
        <v>24</v>
      </c>
      <c r="C4" s="232" t="s">
        <v>9</v>
      </c>
      <c r="D4" s="232" t="s">
        <v>188</v>
      </c>
      <c r="E4" s="143" t="s">
        <v>187</v>
      </c>
      <c r="F4" s="143" t="s">
        <v>196</v>
      </c>
      <c r="G4" s="146"/>
      <c r="H4" s="146"/>
      <c r="I4" s="146"/>
      <c r="J4" s="146"/>
    </row>
    <row r="5" spans="1:10" s="7" customFormat="1" ht="18.75" customHeight="1">
      <c r="A5" s="110" t="s">
        <v>13</v>
      </c>
      <c r="B5" s="119" t="s">
        <v>178</v>
      </c>
      <c r="C5" s="110">
        <v>3</v>
      </c>
      <c r="D5" s="110">
        <v>1</v>
      </c>
      <c r="E5" s="110">
        <v>3</v>
      </c>
      <c r="F5" s="202">
        <f>+E5*$F$25</f>
        <v>3.3371495327102796</v>
      </c>
      <c r="G5" s="121"/>
      <c r="H5" s="121"/>
      <c r="I5" s="121"/>
      <c r="J5" s="121"/>
    </row>
    <row r="6" spans="1:6" s="72" customFormat="1" ht="16.5" customHeight="1">
      <c r="A6" s="80" t="s">
        <v>15</v>
      </c>
      <c r="B6" s="81" t="s">
        <v>177</v>
      </c>
      <c r="C6" s="80">
        <v>17</v>
      </c>
      <c r="D6" s="80"/>
      <c r="E6" s="122">
        <f>+E7+E8+E9</f>
        <v>96</v>
      </c>
      <c r="F6" s="202">
        <f>+E6*$F$25</f>
        <v>106.78878504672895</v>
      </c>
    </row>
    <row r="7" spans="1:6" s="3" customFormat="1" ht="16.5" customHeight="1">
      <c r="A7" s="22">
        <v>1</v>
      </c>
      <c r="B7" s="123" t="s">
        <v>184</v>
      </c>
      <c r="C7" s="69">
        <v>14</v>
      </c>
      <c r="D7" s="69">
        <v>5</v>
      </c>
      <c r="E7" s="69">
        <f>+D7*C7</f>
        <v>70</v>
      </c>
      <c r="F7" s="202"/>
    </row>
    <row r="8" spans="1:6" s="3" customFormat="1" ht="16.5" customHeight="1">
      <c r="A8" s="69">
        <v>2</v>
      </c>
      <c r="B8" s="123" t="s">
        <v>185</v>
      </c>
      <c r="C8" s="69">
        <v>3</v>
      </c>
      <c r="D8" s="69">
        <v>2</v>
      </c>
      <c r="E8" s="69">
        <f aca="true" t="shared" si="0" ref="E8:E21">+D8*C8</f>
        <v>6</v>
      </c>
      <c r="F8" s="202"/>
    </row>
    <row r="9" spans="1:6" s="3" customFormat="1" ht="16.5" customHeight="1">
      <c r="A9" s="69">
        <v>3</v>
      </c>
      <c r="B9" s="123" t="s">
        <v>190</v>
      </c>
      <c r="C9" s="69">
        <v>1</v>
      </c>
      <c r="D9" s="69">
        <v>20</v>
      </c>
      <c r="E9" s="69">
        <v>20</v>
      </c>
      <c r="F9" s="202"/>
    </row>
    <row r="10" spans="1:6" s="150" customFormat="1" ht="16.5" customHeight="1">
      <c r="A10" s="173" t="s">
        <v>12</v>
      </c>
      <c r="B10" s="174" t="s">
        <v>176</v>
      </c>
      <c r="C10" s="175">
        <v>27</v>
      </c>
      <c r="D10" s="175"/>
      <c r="E10" s="126">
        <f>SUM(E11:E13)</f>
        <v>64</v>
      </c>
      <c r="F10" s="202">
        <f>+E10*$F$25</f>
        <v>71.19252336448596</v>
      </c>
    </row>
    <row r="11" spans="1:6" s="3" customFormat="1" ht="16.5" customHeight="1">
      <c r="A11" s="64">
        <v>1</v>
      </c>
      <c r="B11" s="123" t="s">
        <v>184</v>
      </c>
      <c r="C11" s="64">
        <v>9</v>
      </c>
      <c r="D11" s="64">
        <v>5</v>
      </c>
      <c r="E11" s="69">
        <f t="shared" si="0"/>
        <v>45</v>
      </c>
      <c r="F11" s="202"/>
    </row>
    <row r="12" spans="1:6" s="3" customFormat="1" ht="16.5" customHeight="1">
      <c r="A12" s="22">
        <v>2</v>
      </c>
      <c r="B12" s="123" t="s">
        <v>185</v>
      </c>
      <c r="C12" s="22">
        <v>1</v>
      </c>
      <c r="D12" s="22">
        <v>2</v>
      </c>
      <c r="E12" s="69">
        <f t="shared" si="0"/>
        <v>2</v>
      </c>
      <c r="F12" s="202"/>
    </row>
    <row r="13" spans="1:6" s="3" customFormat="1" ht="16.5" customHeight="1">
      <c r="A13" s="64">
        <v>3</v>
      </c>
      <c r="B13" s="104" t="s">
        <v>186</v>
      </c>
      <c r="C13" s="22">
        <v>17</v>
      </c>
      <c r="D13" s="22">
        <v>1</v>
      </c>
      <c r="E13" s="69">
        <f t="shared" si="0"/>
        <v>17</v>
      </c>
      <c r="F13" s="202"/>
    </row>
    <row r="14" spans="1:6" s="72" customFormat="1" ht="18" customHeight="1">
      <c r="A14" s="177" t="s">
        <v>16</v>
      </c>
      <c r="B14" s="178" t="s">
        <v>179</v>
      </c>
      <c r="C14" s="177">
        <v>12</v>
      </c>
      <c r="D14" s="177"/>
      <c r="E14" s="126">
        <f>SUM(E15:E17)</f>
        <v>29</v>
      </c>
      <c r="F14" s="202">
        <f>+E14*$F$25</f>
        <v>32.259112149532704</v>
      </c>
    </row>
    <row r="15" spans="1:6" s="3" customFormat="1" ht="18" customHeight="1">
      <c r="A15" s="109">
        <v>1</v>
      </c>
      <c r="B15" s="123" t="s">
        <v>184</v>
      </c>
      <c r="C15" s="33">
        <v>4</v>
      </c>
      <c r="D15" s="33">
        <v>5</v>
      </c>
      <c r="E15" s="69">
        <f t="shared" si="0"/>
        <v>20</v>
      </c>
      <c r="F15" s="202"/>
    </row>
    <row r="16" spans="1:6" s="3" customFormat="1" ht="18" customHeight="1">
      <c r="A16" s="109">
        <v>2</v>
      </c>
      <c r="B16" s="123" t="s">
        <v>185</v>
      </c>
      <c r="C16" s="33">
        <v>1</v>
      </c>
      <c r="D16" s="33">
        <v>2</v>
      </c>
      <c r="E16" s="69">
        <f t="shared" si="0"/>
        <v>2</v>
      </c>
      <c r="F16" s="202"/>
    </row>
    <row r="17" spans="1:6" s="3" customFormat="1" ht="18" customHeight="1">
      <c r="A17" s="109">
        <v>3</v>
      </c>
      <c r="B17" s="104" t="s">
        <v>186</v>
      </c>
      <c r="C17" s="33">
        <v>7</v>
      </c>
      <c r="D17" s="33">
        <v>1</v>
      </c>
      <c r="E17" s="69">
        <f t="shared" si="0"/>
        <v>7</v>
      </c>
      <c r="F17" s="202"/>
    </row>
    <row r="18" spans="1:6" s="72" customFormat="1" ht="18" customHeight="1">
      <c r="A18" s="126" t="s">
        <v>19</v>
      </c>
      <c r="B18" s="127" t="s">
        <v>180</v>
      </c>
      <c r="C18" s="38">
        <v>14</v>
      </c>
      <c r="D18" s="38">
        <f>SUM(D19:D21)</f>
        <v>8</v>
      </c>
      <c r="E18" s="38">
        <f>SUM(E19:E21)</f>
        <v>22</v>
      </c>
      <c r="F18" s="202">
        <f>+E18*$F$25</f>
        <v>24.47242990654205</v>
      </c>
    </row>
    <row r="19" spans="1:6" s="3" customFormat="1" ht="18" customHeight="1">
      <c r="A19" s="22">
        <v>1</v>
      </c>
      <c r="B19" s="123" t="s">
        <v>184</v>
      </c>
      <c r="C19" s="22">
        <v>1</v>
      </c>
      <c r="D19" s="22">
        <v>5</v>
      </c>
      <c r="E19" s="69">
        <f t="shared" si="0"/>
        <v>5</v>
      </c>
      <c r="F19" s="206"/>
    </row>
    <row r="20" spans="1:6" s="3" customFormat="1" ht="18" customHeight="1">
      <c r="A20" s="22">
        <v>2</v>
      </c>
      <c r="B20" s="123" t="s">
        <v>185</v>
      </c>
      <c r="C20" s="22">
        <v>4</v>
      </c>
      <c r="D20" s="22">
        <v>2</v>
      </c>
      <c r="E20" s="69">
        <f t="shared" si="0"/>
        <v>8</v>
      </c>
      <c r="F20" s="206"/>
    </row>
    <row r="21" spans="1:6" s="3" customFormat="1" ht="16.5" customHeight="1">
      <c r="A21" s="22">
        <v>3</v>
      </c>
      <c r="B21" s="104" t="s">
        <v>186</v>
      </c>
      <c r="C21" s="22">
        <v>9</v>
      </c>
      <c r="D21" s="22">
        <v>1</v>
      </c>
      <c r="E21" s="69">
        <f t="shared" si="0"/>
        <v>9</v>
      </c>
      <c r="F21" s="206"/>
    </row>
    <row r="22" spans="1:7" ht="15">
      <c r="A22" s="132"/>
      <c r="B22" s="132" t="s">
        <v>206</v>
      </c>
      <c r="C22" s="235"/>
      <c r="D22" s="235"/>
      <c r="E22" s="133">
        <f>+E18+E14+E10+E6+E5</f>
        <v>214</v>
      </c>
      <c r="F22" s="133">
        <f>+F18+F14+F10+F6+F5</f>
        <v>238.04999999999995</v>
      </c>
      <c r="G22" s="329"/>
    </row>
    <row r="23" spans="3:6" ht="15">
      <c r="C23" s="286" t="s">
        <v>227</v>
      </c>
      <c r="D23" s="286" t="s">
        <v>228</v>
      </c>
      <c r="E23" s="286" t="s">
        <v>222</v>
      </c>
      <c r="F23" s="286" t="s">
        <v>193</v>
      </c>
    </row>
    <row r="24" spans="2:9" ht="16.5">
      <c r="B24" s="150" t="s">
        <v>189</v>
      </c>
      <c r="C24" s="116">
        <v>529</v>
      </c>
      <c r="D24" s="116">
        <f>+C24</f>
        <v>529</v>
      </c>
      <c r="E24" s="227">
        <f>+D24*0.55</f>
        <v>290.95000000000005</v>
      </c>
      <c r="F24" s="289">
        <f>+D24-E24</f>
        <v>238.04999999999995</v>
      </c>
      <c r="G24" s="116"/>
      <c r="I24" s="329"/>
    </row>
    <row r="25" spans="2:6" ht="15">
      <c r="B25" s="287" t="s">
        <v>215</v>
      </c>
      <c r="F25" s="288">
        <f>+F24/E22</f>
        <v>1.1123831775700932</v>
      </c>
    </row>
  </sheetData>
  <sheetProtection/>
  <mergeCells count="1">
    <mergeCell ref="A1:F1"/>
  </mergeCells>
  <printOptions/>
  <pageMargins left="0.196850393700787" right="0.236220472440945" top="0.196850393700787" bottom="0.196850393700787" header="0.275590551181102" footer="0.511811023622047"/>
  <pageSetup horizontalDpi="600" verticalDpi="600" orientation="landscape" paperSize="9" r:id="rId1"/>
  <headerFooter differentFirst="1" alignWithMargins="0">
    <oddHeader>&amp;C&amp;P</oddHeader>
  </headerFooter>
</worksheet>
</file>

<file path=xl/worksheets/sheet17.xml><?xml version="1.0" encoding="utf-8"?>
<worksheet xmlns="http://schemas.openxmlformats.org/spreadsheetml/2006/main" xmlns:r="http://schemas.openxmlformats.org/officeDocument/2006/relationships">
  <dimension ref="A1:AJ146"/>
  <sheetViews>
    <sheetView tabSelected="1" zoomScale="70" zoomScaleNormal="70" zoomScalePageLayoutView="0" workbookViewId="0" topLeftCell="A7">
      <selection activeCell="V18" sqref="V18"/>
    </sheetView>
  </sheetViews>
  <sheetFormatPr defaultColWidth="9.00390625" defaultRowHeight="15.75"/>
  <cols>
    <col min="1" max="1" width="4.375" style="150" customWidth="1"/>
    <col min="2" max="2" width="57.375" style="150" customWidth="1"/>
    <col min="3" max="3" width="20.375" style="286" customWidth="1"/>
    <col min="4" max="4" width="13.125" style="286" hidden="1" customWidth="1"/>
    <col min="5" max="5" width="9.00390625" style="150" hidden="1" customWidth="1"/>
    <col min="6" max="6" width="9.00390625" style="286" hidden="1" customWidth="1"/>
    <col min="7" max="9" width="9.00390625" style="150" hidden="1" customWidth="1"/>
    <col min="10" max="10" width="20.375" style="150" hidden="1" customWidth="1"/>
    <col min="11" max="11" width="11.25390625" style="150" customWidth="1"/>
    <col min="12" max="13" width="8.375" style="150" hidden="1" customWidth="1"/>
    <col min="14" max="14" width="10.125" style="150" customWidth="1"/>
    <col min="15" max="16" width="9.875" style="150" customWidth="1"/>
    <col min="17" max="22" width="9.00390625" style="150" customWidth="1"/>
    <col min="23" max="23" width="9.875" style="150" customWidth="1"/>
    <col min="24" max="24" width="9.00390625" style="150" customWidth="1"/>
    <col min="25" max="25" width="9.375" style="150" customWidth="1"/>
    <col min="26" max="26" width="10.375" style="150" customWidth="1"/>
    <col min="27" max="34" width="9.00390625" style="150" hidden="1" customWidth="1"/>
    <col min="35" max="16384" width="9.00390625" style="150" customWidth="1"/>
  </cols>
  <sheetData>
    <row r="1" spans="3:26" s="649" customFormat="1" ht="23.25" customHeight="1">
      <c r="C1" s="650"/>
      <c r="D1" s="650"/>
      <c r="F1" s="650"/>
      <c r="W1" s="818"/>
      <c r="X1" s="818"/>
      <c r="Y1" s="818"/>
      <c r="Z1" s="818"/>
    </row>
    <row r="2" spans="1:26" s="115" customFormat="1" ht="24" customHeight="1">
      <c r="A2" s="821" t="s">
        <v>874</v>
      </c>
      <c r="B2" s="821"/>
      <c r="C2" s="821"/>
      <c r="D2" s="821"/>
      <c r="E2" s="821"/>
      <c r="F2" s="821"/>
      <c r="G2" s="821"/>
      <c r="H2" s="821"/>
      <c r="I2" s="821"/>
      <c r="J2" s="821"/>
      <c r="K2" s="821"/>
      <c r="L2" s="821"/>
      <c r="M2" s="821"/>
      <c r="N2" s="821"/>
      <c r="O2" s="821"/>
      <c r="P2" s="821"/>
      <c r="Q2" s="821"/>
      <c r="R2" s="821"/>
      <c r="S2" s="821"/>
      <c r="T2" s="821"/>
      <c r="U2" s="821"/>
      <c r="V2" s="821"/>
      <c r="W2" s="821"/>
      <c r="X2" s="821"/>
      <c r="Y2" s="821"/>
      <c r="Z2" s="821"/>
    </row>
    <row r="3" spans="1:26" s="115" customFormat="1" ht="23.25" customHeight="1">
      <c r="A3" s="822" t="s">
        <v>871</v>
      </c>
      <c r="B3" s="822"/>
      <c r="C3" s="822"/>
      <c r="D3" s="822"/>
      <c r="E3" s="822"/>
      <c r="F3" s="822"/>
      <c r="G3" s="822"/>
      <c r="H3" s="822"/>
      <c r="I3" s="822"/>
      <c r="J3" s="822"/>
      <c r="K3" s="822"/>
      <c r="L3" s="822"/>
      <c r="M3" s="822"/>
      <c r="N3" s="822"/>
      <c r="O3" s="822"/>
      <c r="P3" s="822"/>
      <c r="Q3" s="822"/>
      <c r="R3" s="822"/>
      <c r="S3" s="822"/>
      <c r="T3" s="822"/>
      <c r="U3" s="822"/>
      <c r="V3" s="822"/>
      <c r="W3" s="822"/>
      <c r="X3" s="822"/>
      <c r="Y3" s="822"/>
      <c r="Z3" s="822"/>
    </row>
    <row r="4" spans="1:26" s="115" customFormat="1" ht="23.25" customHeight="1">
      <c r="A4" s="688"/>
      <c r="B4" s="688"/>
      <c r="C4" s="688"/>
      <c r="D4" s="688"/>
      <c r="E4" s="688"/>
      <c r="F4" s="688"/>
      <c r="G4" s="688"/>
      <c r="H4" s="688"/>
      <c r="I4" s="688"/>
      <c r="J4" s="688"/>
      <c r="K4" s="688"/>
      <c r="L4" s="688"/>
      <c r="M4" s="688"/>
      <c r="N4" s="688"/>
      <c r="O4" s="688"/>
      <c r="P4" s="688"/>
      <c r="Q4" s="688"/>
      <c r="R4" s="688"/>
      <c r="S4" s="688"/>
      <c r="T4" s="688"/>
      <c r="U4" s="688"/>
      <c r="V4" s="688"/>
      <c r="W4" s="688"/>
      <c r="X4" s="688"/>
      <c r="Y4" s="688"/>
      <c r="Z4" s="688"/>
    </row>
    <row r="5" spans="1:26" ht="20.25" customHeight="1">
      <c r="A5" s="495"/>
      <c r="B5" s="496"/>
      <c r="C5" s="495"/>
      <c r="D5" s="495"/>
      <c r="E5" s="496"/>
      <c r="F5" s="495"/>
      <c r="G5" s="496"/>
      <c r="H5" s="496"/>
      <c r="I5" s="496"/>
      <c r="J5" s="496"/>
      <c r="K5" s="496"/>
      <c r="L5" s="496"/>
      <c r="M5" s="496"/>
      <c r="N5" s="496"/>
      <c r="O5" s="496"/>
      <c r="P5" s="496"/>
      <c r="Q5" s="496"/>
      <c r="R5" s="496"/>
      <c r="S5" s="496"/>
      <c r="T5" s="496"/>
      <c r="U5" s="496"/>
      <c r="V5" s="819" t="s">
        <v>532</v>
      </c>
      <c r="W5" s="819"/>
      <c r="X5" s="819"/>
      <c r="Y5" s="819"/>
      <c r="Z5" s="819"/>
    </row>
    <row r="6" spans="1:26" ht="22.5" customHeight="1">
      <c r="A6" s="756" t="s">
        <v>549</v>
      </c>
      <c r="B6" s="756" t="s">
        <v>736</v>
      </c>
      <c r="C6" s="756" t="s">
        <v>725</v>
      </c>
      <c r="D6" s="756" t="s">
        <v>494</v>
      </c>
      <c r="E6" s="756" t="s">
        <v>727</v>
      </c>
      <c r="F6" s="756" t="s">
        <v>495</v>
      </c>
      <c r="G6" s="829" t="s">
        <v>496</v>
      </c>
      <c r="H6" s="830"/>
      <c r="I6" s="830"/>
      <c r="J6" s="831"/>
      <c r="K6" s="817" t="s">
        <v>447</v>
      </c>
      <c r="L6" s="835" t="s">
        <v>497</v>
      </c>
      <c r="M6" s="835"/>
      <c r="N6" s="835"/>
      <c r="O6" s="835"/>
      <c r="P6" s="835"/>
      <c r="Q6" s="835"/>
      <c r="R6" s="835"/>
      <c r="S6" s="835"/>
      <c r="T6" s="835"/>
      <c r="U6" s="835"/>
      <c r="V6" s="835"/>
      <c r="W6" s="835"/>
      <c r="X6" s="835"/>
      <c r="Y6" s="835"/>
      <c r="Z6" s="820"/>
    </row>
    <row r="7" spans="1:26" ht="29.25" customHeight="1">
      <c r="A7" s="823"/>
      <c r="B7" s="823"/>
      <c r="C7" s="823"/>
      <c r="D7" s="823"/>
      <c r="E7" s="823"/>
      <c r="F7" s="823"/>
      <c r="G7" s="832"/>
      <c r="H7" s="833"/>
      <c r="I7" s="833"/>
      <c r="J7" s="834"/>
      <c r="K7" s="817"/>
      <c r="L7" s="689"/>
      <c r="M7" s="690"/>
      <c r="N7" s="817" t="s">
        <v>562</v>
      </c>
      <c r="O7" s="817"/>
      <c r="P7" s="817"/>
      <c r="Q7" s="817"/>
      <c r="R7" s="817"/>
      <c r="S7" s="817"/>
      <c r="T7" s="817"/>
      <c r="U7" s="817"/>
      <c r="V7" s="817" t="s">
        <v>720</v>
      </c>
      <c r="W7" s="817"/>
      <c r="X7" s="817"/>
      <c r="Y7" s="817" t="s">
        <v>872</v>
      </c>
      <c r="Z7" s="817" t="s">
        <v>873</v>
      </c>
    </row>
    <row r="8" spans="1:26" ht="32.25" customHeight="1">
      <c r="A8" s="823"/>
      <c r="B8" s="823"/>
      <c r="C8" s="823"/>
      <c r="D8" s="823"/>
      <c r="E8" s="823"/>
      <c r="F8" s="823"/>
      <c r="G8" s="756" t="s">
        <v>499</v>
      </c>
      <c r="H8" s="817" t="s">
        <v>500</v>
      </c>
      <c r="I8" s="817"/>
      <c r="J8" s="817"/>
      <c r="K8" s="817"/>
      <c r="L8" s="820" t="s">
        <v>501</v>
      </c>
      <c r="M8" s="817"/>
      <c r="N8" s="817" t="s">
        <v>447</v>
      </c>
      <c r="O8" s="817" t="s">
        <v>501</v>
      </c>
      <c r="P8" s="817"/>
      <c r="Q8" s="817"/>
      <c r="R8" s="817"/>
      <c r="S8" s="817"/>
      <c r="T8" s="817"/>
      <c r="U8" s="817"/>
      <c r="V8" s="817" t="s">
        <v>447</v>
      </c>
      <c r="W8" s="817" t="s">
        <v>501</v>
      </c>
      <c r="X8" s="817"/>
      <c r="Y8" s="817"/>
      <c r="Z8" s="817"/>
    </row>
    <row r="9" spans="1:26" ht="26.25" customHeight="1">
      <c r="A9" s="823"/>
      <c r="B9" s="823"/>
      <c r="C9" s="823"/>
      <c r="D9" s="823"/>
      <c r="E9" s="823"/>
      <c r="F9" s="823"/>
      <c r="G9" s="823"/>
      <c r="H9" s="756" t="s">
        <v>502</v>
      </c>
      <c r="I9" s="817" t="s">
        <v>501</v>
      </c>
      <c r="J9" s="817"/>
      <c r="K9" s="817"/>
      <c r="L9" s="820" t="s">
        <v>717</v>
      </c>
      <c r="M9" s="817" t="s">
        <v>718</v>
      </c>
      <c r="N9" s="817"/>
      <c r="O9" s="817" t="s">
        <v>717</v>
      </c>
      <c r="P9" s="817" t="s">
        <v>718</v>
      </c>
      <c r="Q9" s="817"/>
      <c r="R9" s="817"/>
      <c r="S9" s="817"/>
      <c r="T9" s="817"/>
      <c r="U9" s="817"/>
      <c r="V9" s="817"/>
      <c r="W9" s="817" t="s">
        <v>717</v>
      </c>
      <c r="X9" s="817" t="s">
        <v>718</v>
      </c>
      <c r="Y9" s="817"/>
      <c r="Z9" s="817"/>
    </row>
    <row r="10" spans="1:26" ht="87" customHeight="1">
      <c r="A10" s="757"/>
      <c r="B10" s="757"/>
      <c r="C10" s="757"/>
      <c r="D10" s="757"/>
      <c r="E10" s="757"/>
      <c r="F10" s="757"/>
      <c r="G10" s="757"/>
      <c r="H10" s="757"/>
      <c r="I10" s="497" t="s">
        <v>504</v>
      </c>
      <c r="J10" s="497" t="s">
        <v>505</v>
      </c>
      <c r="K10" s="817"/>
      <c r="L10" s="820"/>
      <c r="M10" s="817"/>
      <c r="N10" s="817"/>
      <c r="O10" s="817"/>
      <c r="P10" s="498" t="s">
        <v>447</v>
      </c>
      <c r="Q10" s="497" t="s">
        <v>857</v>
      </c>
      <c r="R10" s="497" t="s">
        <v>861</v>
      </c>
      <c r="S10" s="497" t="s">
        <v>859</v>
      </c>
      <c r="T10" s="497" t="s">
        <v>858</v>
      </c>
      <c r="U10" s="497" t="s">
        <v>860</v>
      </c>
      <c r="V10" s="817"/>
      <c r="W10" s="817"/>
      <c r="X10" s="817"/>
      <c r="Y10" s="817"/>
      <c r="Z10" s="817"/>
    </row>
    <row r="11" spans="1:30" ht="30.75" customHeight="1">
      <c r="A11" s="497"/>
      <c r="B11" s="497" t="s">
        <v>447</v>
      </c>
      <c r="C11" s="497"/>
      <c r="D11" s="497"/>
      <c r="E11" s="497"/>
      <c r="F11" s="497"/>
      <c r="G11" s="497"/>
      <c r="H11" s="497"/>
      <c r="I11" s="497"/>
      <c r="J11" s="497"/>
      <c r="K11" s="553">
        <f>K12+K36+K37+K47+K75+K97+K103+K109+K115+K123</f>
        <v>296196</v>
      </c>
      <c r="L11" s="553">
        <f aca="true" t="shared" si="0" ref="L11:Z11">L12+L36+L37+L47+L75+L97+L103+L109+L115+L123</f>
        <v>180911</v>
      </c>
      <c r="M11" s="553">
        <f t="shared" si="0"/>
        <v>72645</v>
      </c>
      <c r="N11" s="553">
        <f t="shared" si="0"/>
        <v>221056</v>
      </c>
      <c r="O11" s="553">
        <f t="shared" si="0"/>
        <v>150911</v>
      </c>
      <c r="P11" s="553">
        <f t="shared" si="0"/>
        <v>70145</v>
      </c>
      <c r="Q11" s="553">
        <f t="shared" si="0"/>
        <v>26222</v>
      </c>
      <c r="R11" s="553">
        <f t="shared" si="0"/>
        <v>4688</v>
      </c>
      <c r="S11" s="553">
        <f t="shared" si="0"/>
        <v>4868</v>
      </c>
      <c r="T11" s="553">
        <f t="shared" si="0"/>
        <v>30404</v>
      </c>
      <c r="U11" s="553">
        <f t="shared" si="0"/>
        <v>3963</v>
      </c>
      <c r="V11" s="553">
        <f>V12+V36+V37+V47+V75+V97+V103+V109+V115+V123</f>
        <v>32500</v>
      </c>
      <c r="W11" s="553">
        <f t="shared" si="0"/>
        <v>30000</v>
      </c>
      <c r="X11" s="553">
        <f t="shared" si="0"/>
        <v>2500</v>
      </c>
      <c r="Y11" s="553">
        <f t="shared" si="0"/>
        <v>12640</v>
      </c>
      <c r="Z11" s="553">
        <f t="shared" si="0"/>
        <v>30000</v>
      </c>
      <c r="AB11" s="567"/>
      <c r="AD11" s="567"/>
    </row>
    <row r="12" spans="1:26" s="72" customFormat="1" ht="42" customHeight="1">
      <c r="A12" s="214" t="s">
        <v>13</v>
      </c>
      <c r="B12" s="503" t="s">
        <v>506</v>
      </c>
      <c r="C12" s="497"/>
      <c r="D12" s="497"/>
      <c r="E12" s="644"/>
      <c r="F12" s="497"/>
      <c r="G12" s="644"/>
      <c r="H12" s="644"/>
      <c r="I12" s="644"/>
      <c r="J12" s="644"/>
      <c r="K12" s="553">
        <f>K13+K19+K25</f>
        <v>45361</v>
      </c>
      <c r="L12" s="553">
        <f aca="true" t="shared" si="1" ref="L12:Z12">L13+L19+L25</f>
        <v>25897</v>
      </c>
      <c r="M12" s="553">
        <f t="shared" si="1"/>
        <v>6824</v>
      </c>
      <c r="N12" s="553">
        <f t="shared" si="1"/>
        <v>31457</v>
      </c>
      <c r="O12" s="553">
        <f t="shared" si="1"/>
        <v>24633</v>
      </c>
      <c r="P12" s="553">
        <f t="shared" si="1"/>
        <v>6824</v>
      </c>
      <c r="Q12" s="553">
        <f t="shared" si="1"/>
        <v>2872</v>
      </c>
      <c r="R12" s="553">
        <f t="shared" si="1"/>
        <v>0</v>
      </c>
      <c r="S12" s="553">
        <f t="shared" si="1"/>
        <v>0</v>
      </c>
      <c r="T12" s="553">
        <f t="shared" si="1"/>
        <v>1480</v>
      </c>
      <c r="U12" s="553">
        <f t="shared" si="1"/>
        <v>2472</v>
      </c>
      <c r="V12" s="553">
        <f t="shared" si="1"/>
        <v>1264</v>
      </c>
      <c r="W12" s="553">
        <f t="shared" si="1"/>
        <v>1264</v>
      </c>
      <c r="X12" s="553">
        <f t="shared" si="1"/>
        <v>0</v>
      </c>
      <c r="Y12" s="553">
        <f t="shared" si="1"/>
        <v>12640</v>
      </c>
      <c r="Z12" s="553">
        <f t="shared" si="1"/>
        <v>0</v>
      </c>
    </row>
    <row r="13" spans="1:26" ht="22.5" customHeight="1">
      <c r="A13" s="217">
        <v>1</v>
      </c>
      <c r="B13" s="513" t="s">
        <v>768</v>
      </c>
      <c r="C13" s="824" t="s">
        <v>704</v>
      </c>
      <c r="D13" s="500"/>
      <c r="E13" s="501"/>
      <c r="F13" s="500"/>
      <c r="G13" s="501"/>
      <c r="H13" s="501"/>
      <c r="I13" s="501"/>
      <c r="J13" s="501"/>
      <c r="K13" s="550">
        <f>SUM(K14:K18)</f>
        <v>26544</v>
      </c>
      <c r="L13" s="550">
        <f>SUM(L14:L18)</f>
        <v>13904</v>
      </c>
      <c r="M13" s="550"/>
      <c r="N13" s="550">
        <f>SUM(N14:N18)</f>
        <v>12640</v>
      </c>
      <c r="O13" s="550">
        <f>SUM(O14:O18)</f>
        <v>12640</v>
      </c>
      <c r="P13" s="550"/>
      <c r="Q13" s="550"/>
      <c r="R13" s="550"/>
      <c r="S13" s="550"/>
      <c r="T13" s="550"/>
      <c r="U13" s="550"/>
      <c r="V13" s="550">
        <f>SUM(V14:V18)</f>
        <v>1264</v>
      </c>
      <c r="W13" s="550">
        <f>SUM(W14:W18)</f>
        <v>1264</v>
      </c>
      <c r="X13" s="550">
        <f>SUM(X14:X18)</f>
        <v>0</v>
      </c>
      <c r="Y13" s="550">
        <f>SUM(Y14:Y18)</f>
        <v>12640</v>
      </c>
      <c r="Z13" s="499"/>
    </row>
    <row r="14" spans="1:36" ht="24.75" customHeight="1">
      <c r="A14" s="217"/>
      <c r="B14" s="646" t="s">
        <v>287</v>
      </c>
      <c r="C14" s="825"/>
      <c r="D14" s="500"/>
      <c r="E14" s="500" t="s">
        <v>713</v>
      </c>
      <c r="F14" s="500"/>
      <c r="G14" s="501"/>
      <c r="H14" s="501"/>
      <c r="I14" s="501"/>
      <c r="J14" s="501"/>
      <c r="K14" s="550">
        <f>L14+M14+Y14</f>
        <v>6636</v>
      </c>
      <c r="L14" s="550">
        <f>O14+W14</f>
        <v>3476</v>
      </c>
      <c r="M14" s="550"/>
      <c r="N14" s="550">
        <f aca="true" t="shared" si="2" ref="N14:N35">O14+P14</f>
        <v>3160</v>
      </c>
      <c r="O14" s="551">
        <f>W14*10</f>
        <v>3160</v>
      </c>
      <c r="P14" s="551"/>
      <c r="Q14" s="551"/>
      <c r="R14" s="551"/>
      <c r="S14" s="551"/>
      <c r="T14" s="551"/>
      <c r="U14" s="551"/>
      <c r="V14" s="626">
        <f>W14+X14</f>
        <v>316</v>
      </c>
      <c r="W14" s="551">
        <f>79*4</f>
        <v>316</v>
      </c>
      <c r="X14" s="643"/>
      <c r="Y14" s="626">
        <f>79*40</f>
        <v>3160</v>
      </c>
      <c r="Z14" s="499"/>
      <c r="AJ14" s="647"/>
    </row>
    <row r="15" spans="1:36" ht="24.75" customHeight="1">
      <c r="A15" s="217"/>
      <c r="B15" s="646" t="s">
        <v>288</v>
      </c>
      <c r="C15" s="825"/>
      <c r="D15" s="500"/>
      <c r="E15" s="500" t="s">
        <v>713</v>
      </c>
      <c r="F15" s="500"/>
      <c r="G15" s="501"/>
      <c r="H15" s="501"/>
      <c r="I15" s="501"/>
      <c r="J15" s="501"/>
      <c r="K15" s="550">
        <f>L15+M15+Y15</f>
        <v>6636</v>
      </c>
      <c r="L15" s="550">
        <f>O15+W15</f>
        <v>3476</v>
      </c>
      <c r="M15" s="550"/>
      <c r="N15" s="550">
        <f t="shared" si="2"/>
        <v>3160</v>
      </c>
      <c r="O15" s="551">
        <f>W15*10</f>
        <v>3160</v>
      </c>
      <c r="P15" s="551"/>
      <c r="Q15" s="551"/>
      <c r="R15" s="551"/>
      <c r="S15" s="551"/>
      <c r="T15" s="551"/>
      <c r="U15" s="551"/>
      <c r="V15" s="626">
        <f>W15+X15</f>
        <v>316</v>
      </c>
      <c r="W15" s="551">
        <f>79*4</f>
        <v>316</v>
      </c>
      <c r="X15" s="643"/>
      <c r="Y15" s="643">
        <f>79*40</f>
        <v>3160</v>
      </c>
      <c r="Z15" s="499"/>
      <c r="AC15" s="567">
        <f>P19+P25</f>
        <v>6824</v>
      </c>
      <c r="AD15" s="150">
        <v>16</v>
      </c>
      <c r="AJ15" s="647"/>
    </row>
    <row r="16" spans="1:36" ht="24.75" customHeight="1">
      <c r="A16" s="217"/>
      <c r="B16" s="646" t="s">
        <v>289</v>
      </c>
      <c r="C16" s="825"/>
      <c r="D16" s="500"/>
      <c r="E16" s="500" t="s">
        <v>714</v>
      </c>
      <c r="F16" s="500"/>
      <c r="G16" s="501"/>
      <c r="H16" s="501"/>
      <c r="I16" s="501"/>
      <c r="J16" s="501"/>
      <c r="K16" s="550">
        <f>L16+M16+Y16</f>
        <v>10668</v>
      </c>
      <c r="L16" s="550">
        <f>O16+W16</f>
        <v>5588</v>
      </c>
      <c r="M16" s="550"/>
      <c r="N16" s="550">
        <f t="shared" si="2"/>
        <v>5080</v>
      </c>
      <c r="O16" s="551">
        <f>W16*10</f>
        <v>5080</v>
      </c>
      <c r="P16" s="551"/>
      <c r="Q16" s="551"/>
      <c r="R16" s="551"/>
      <c r="S16" s="551"/>
      <c r="T16" s="551"/>
      <c r="U16" s="551"/>
      <c r="V16" s="626">
        <f>W16+X16</f>
        <v>508</v>
      </c>
      <c r="W16" s="551">
        <f>127*4</f>
        <v>508</v>
      </c>
      <c r="X16" s="643"/>
      <c r="Y16" s="643">
        <f>127*40</f>
        <v>5080</v>
      </c>
      <c r="Z16" s="499"/>
      <c r="AD16" s="150">
        <v>39</v>
      </c>
      <c r="AJ16" s="647"/>
    </row>
    <row r="17" spans="1:36" ht="24.75" customHeight="1">
      <c r="A17" s="217"/>
      <c r="B17" s="646" t="s">
        <v>290</v>
      </c>
      <c r="C17" s="825"/>
      <c r="D17" s="500"/>
      <c r="E17" s="500" t="s">
        <v>715</v>
      </c>
      <c r="F17" s="500"/>
      <c r="G17" s="501"/>
      <c r="H17" s="501"/>
      <c r="I17" s="501"/>
      <c r="J17" s="501"/>
      <c r="K17" s="550">
        <f>L17+M17+Y17</f>
        <v>2352</v>
      </c>
      <c r="L17" s="550">
        <f>O17+W17</f>
        <v>1232</v>
      </c>
      <c r="M17" s="550"/>
      <c r="N17" s="550">
        <f t="shared" si="2"/>
        <v>1120</v>
      </c>
      <c r="O17" s="551">
        <f>W17*10</f>
        <v>1120</v>
      </c>
      <c r="P17" s="551"/>
      <c r="Q17" s="551"/>
      <c r="R17" s="551"/>
      <c r="S17" s="551"/>
      <c r="T17" s="551"/>
      <c r="U17" s="551"/>
      <c r="V17" s="626">
        <f>W17+X17</f>
        <v>112</v>
      </c>
      <c r="W17" s="551">
        <f>28*4</f>
        <v>112</v>
      </c>
      <c r="X17" s="643"/>
      <c r="Y17" s="643">
        <f>28*40</f>
        <v>1120</v>
      </c>
      <c r="Z17" s="499"/>
      <c r="AD17" s="150">
        <f>AD15*AD16</f>
        <v>624</v>
      </c>
      <c r="AJ17" s="647"/>
    </row>
    <row r="18" spans="1:36" ht="24.75" customHeight="1">
      <c r="A18" s="217"/>
      <c r="B18" s="646" t="s">
        <v>295</v>
      </c>
      <c r="C18" s="825"/>
      <c r="D18" s="500"/>
      <c r="E18" s="500" t="s">
        <v>716</v>
      </c>
      <c r="F18" s="500"/>
      <c r="G18" s="501"/>
      <c r="H18" s="501"/>
      <c r="I18" s="501"/>
      <c r="J18" s="501"/>
      <c r="K18" s="550">
        <f>L18+M18+Y18</f>
        <v>252</v>
      </c>
      <c r="L18" s="550">
        <f>O18+W18</f>
        <v>132</v>
      </c>
      <c r="M18" s="550"/>
      <c r="N18" s="550">
        <f t="shared" si="2"/>
        <v>120</v>
      </c>
      <c r="O18" s="551">
        <f>W18*10</f>
        <v>120</v>
      </c>
      <c r="P18" s="551"/>
      <c r="Q18" s="551"/>
      <c r="R18" s="551"/>
      <c r="S18" s="551"/>
      <c r="T18" s="551"/>
      <c r="U18" s="551"/>
      <c r="V18" s="626">
        <f>W18+X18</f>
        <v>12</v>
      </c>
      <c r="W18" s="551">
        <f>3*4</f>
        <v>12</v>
      </c>
      <c r="X18" s="643"/>
      <c r="Y18" s="643">
        <f>3*40</f>
        <v>120</v>
      </c>
      <c r="Z18" s="499"/>
      <c r="AJ18" s="647"/>
    </row>
    <row r="19" spans="1:36" ht="26.25" customHeight="1">
      <c r="A19" s="217">
        <v>2</v>
      </c>
      <c r="B19" s="513" t="s">
        <v>862</v>
      </c>
      <c r="C19" s="825"/>
      <c r="D19" s="500"/>
      <c r="E19" s="499"/>
      <c r="F19" s="500"/>
      <c r="G19" s="499"/>
      <c r="H19" s="499"/>
      <c r="I19" s="499"/>
      <c r="J19" s="569"/>
      <c r="K19" s="550">
        <f>SUM(K20:K24)</f>
        <v>5344</v>
      </c>
      <c r="L19" s="550"/>
      <c r="M19" s="550">
        <f>SUM(M20:M24)</f>
        <v>5344</v>
      </c>
      <c r="N19" s="550">
        <f>SUM(N20:N24)</f>
        <v>5344</v>
      </c>
      <c r="O19" s="550"/>
      <c r="P19" s="550">
        <f aca="true" t="shared" si="3" ref="P19:Z19">SUM(P20:P24)</f>
        <v>5344</v>
      </c>
      <c r="Q19" s="550">
        <f t="shared" si="3"/>
        <v>2872</v>
      </c>
      <c r="R19" s="550">
        <f t="shared" si="3"/>
        <v>0</v>
      </c>
      <c r="S19" s="550">
        <f t="shared" si="3"/>
        <v>0</v>
      </c>
      <c r="T19" s="550">
        <f t="shared" si="3"/>
        <v>0</v>
      </c>
      <c r="U19" s="550">
        <f t="shared" si="3"/>
        <v>2472</v>
      </c>
      <c r="V19" s="550">
        <f t="shared" si="3"/>
        <v>0</v>
      </c>
      <c r="W19" s="550">
        <f t="shared" si="3"/>
        <v>0</v>
      </c>
      <c r="X19" s="550">
        <f t="shared" si="3"/>
        <v>0</v>
      </c>
      <c r="Y19" s="550">
        <f t="shared" si="3"/>
        <v>0</v>
      </c>
      <c r="Z19" s="550">
        <f t="shared" si="3"/>
        <v>0</v>
      </c>
      <c r="AJ19" s="647"/>
    </row>
    <row r="20" spans="1:36" ht="24.75" customHeight="1">
      <c r="A20" s="217"/>
      <c r="B20" s="646" t="s">
        <v>287</v>
      </c>
      <c r="C20" s="825"/>
      <c r="D20" s="500"/>
      <c r="E20" s="499"/>
      <c r="F20" s="500"/>
      <c r="G20" s="499"/>
      <c r="H20" s="499"/>
      <c r="I20" s="499"/>
      <c r="J20" s="499"/>
      <c r="K20" s="550">
        <f>L20+M20+Y20</f>
        <v>934</v>
      </c>
      <c r="L20" s="550"/>
      <c r="M20" s="550">
        <f>P20+X20</f>
        <v>934</v>
      </c>
      <c r="N20" s="550">
        <f t="shared" si="2"/>
        <v>934</v>
      </c>
      <c r="O20" s="551"/>
      <c r="P20" s="551">
        <f>SUM(Q20:U20)</f>
        <v>934</v>
      </c>
      <c r="Q20" s="551">
        <v>492</v>
      </c>
      <c r="R20" s="551"/>
      <c r="S20" s="551"/>
      <c r="T20" s="551"/>
      <c r="U20" s="551">
        <v>442</v>
      </c>
      <c r="V20" s="626"/>
      <c r="W20" s="553"/>
      <c r="X20" s="643"/>
      <c r="Y20" s="643"/>
      <c r="Z20" s="499"/>
      <c r="AJ20" s="647"/>
    </row>
    <row r="21" spans="1:36" ht="24.75" customHeight="1">
      <c r="A21" s="217"/>
      <c r="B21" s="646" t="s">
        <v>288</v>
      </c>
      <c r="C21" s="825"/>
      <c r="D21" s="500"/>
      <c r="E21" s="499"/>
      <c r="F21" s="500"/>
      <c r="G21" s="499"/>
      <c r="H21" s="499"/>
      <c r="I21" s="499"/>
      <c r="J21" s="499"/>
      <c r="K21" s="550">
        <f>L21+M21+Y21</f>
        <v>800</v>
      </c>
      <c r="L21" s="550"/>
      <c r="M21" s="550">
        <f>P21+X21</f>
        <v>800</v>
      </c>
      <c r="N21" s="550">
        <f t="shared" si="2"/>
        <v>800</v>
      </c>
      <c r="O21" s="551"/>
      <c r="P21" s="551">
        <f>SUM(Q21:U21)</f>
        <v>800</v>
      </c>
      <c r="Q21" s="551">
        <v>400</v>
      </c>
      <c r="R21" s="551"/>
      <c r="S21" s="551"/>
      <c r="T21" s="551"/>
      <c r="U21" s="551">
        <v>400</v>
      </c>
      <c r="V21" s="626"/>
      <c r="W21" s="553"/>
      <c r="X21" s="643"/>
      <c r="Y21" s="643"/>
      <c r="Z21" s="499"/>
      <c r="AJ21" s="647"/>
    </row>
    <row r="22" spans="1:36" ht="24.75" customHeight="1">
      <c r="A22" s="217"/>
      <c r="B22" s="646" t="s">
        <v>289</v>
      </c>
      <c r="C22" s="825"/>
      <c r="D22" s="500"/>
      <c r="E22" s="499"/>
      <c r="F22" s="500"/>
      <c r="G22" s="499"/>
      <c r="H22" s="499"/>
      <c r="I22" s="499"/>
      <c r="J22" s="499"/>
      <c r="K22" s="550">
        <f>L22+M22+Y22</f>
        <v>2500</v>
      </c>
      <c r="L22" s="550"/>
      <c r="M22" s="550">
        <f>P22+X22</f>
        <v>2500</v>
      </c>
      <c r="N22" s="550">
        <f t="shared" si="2"/>
        <v>2500</v>
      </c>
      <c r="O22" s="551"/>
      <c r="P22" s="551">
        <f>SUM(Q22:U22)</f>
        <v>2500</v>
      </c>
      <c r="Q22" s="551">
        <v>1300</v>
      </c>
      <c r="R22" s="551"/>
      <c r="S22" s="551"/>
      <c r="T22" s="551"/>
      <c r="U22" s="551">
        <v>1200</v>
      </c>
      <c r="V22" s="626"/>
      <c r="W22" s="553"/>
      <c r="X22" s="643"/>
      <c r="Y22" s="643"/>
      <c r="Z22" s="499"/>
      <c r="AB22" s="647"/>
      <c r="AJ22" s="647"/>
    </row>
    <row r="23" spans="1:36" ht="24.75" customHeight="1">
      <c r="A23" s="217"/>
      <c r="B23" s="646" t="s">
        <v>290</v>
      </c>
      <c r="C23" s="825"/>
      <c r="D23" s="500"/>
      <c r="E23" s="499"/>
      <c r="F23" s="500"/>
      <c r="G23" s="499"/>
      <c r="H23" s="499"/>
      <c r="I23" s="499"/>
      <c r="J23" s="499"/>
      <c r="K23" s="550">
        <f>L23+M23+Y23</f>
        <v>880</v>
      </c>
      <c r="L23" s="550"/>
      <c r="M23" s="550">
        <f>P23+X23</f>
        <v>880</v>
      </c>
      <c r="N23" s="550">
        <f t="shared" si="2"/>
        <v>880</v>
      </c>
      <c r="O23" s="551"/>
      <c r="P23" s="551">
        <f>SUM(Q23:U23)</f>
        <v>880</v>
      </c>
      <c r="Q23" s="551">
        <v>580</v>
      </c>
      <c r="R23" s="551"/>
      <c r="S23" s="551"/>
      <c r="T23" s="551"/>
      <c r="U23" s="551">
        <v>300</v>
      </c>
      <c r="V23" s="626"/>
      <c r="W23" s="553"/>
      <c r="X23" s="643"/>
      <c r="Y23" s="643"/>
      <c r="Z23" s="499"/>
      <c r="AB23" s="647"/>
      <c r="AJ23" s="647"/>
    </row>
    <row r="24" spans="1:36" ht="24.75" customHeight="1">
      <c r="A24" s="217"/>
      <c r="B24" s="646" t="s">
        <v>295</v>
      </c>
      <c r="C24" s="825"/>
      <c r="D24" s="500"/>
      <c r="E24" s="499"/>
      <c r="F24" s="500"/>
      <c r="G24" s="499"/>
      <c r="H24" s="499"/>
      <c r="I24" s="499"/>
      <c r="J24" s="499"/>
      <c r="K24" s="550">
        <f>L24+M24+Y24</f>
        <v>230</v>
      </c>
      <c r="L24" s="550"/>
      <c r="M24" s="550">
        <f>P24+X24</f>
        <v>230</v>
      </c>
      <c r="N24" s="550">
        <f t="shared" si="2"/>
        <v>230</v>
      </c>
      <c r="O24" s="551"/>
      <c r="P24" s="551">
        <f>SUM(Q24:U24)</f>
        <v>230</v>
      </c>
      <c r="Q24" s="551">
        <v>100</v>
      </c>
      <c r="R24" s="551"/>
      <c r="S24" s="551"/>
      <c r="T24" s="551"/>
      <c r="U24" s="551">
        <v>130</v>
      </c>
      <c r="V24" s="626"/>
      <c r="W24" s="553"/>
      <c r="X24" s="643"/>
      <c r="Y24" s="691"/>
      <c r="Z24" s="499"/>
      <c r="AC24" s="647"/>
      <c r="AJ24" s="647"/>
    </row>
    <row r="25" spans="1:26" ht="24.75" customHeight="1">
      <c r="A25" s="217">
        <v>3</v>
      </c>
      <c r="B25" s="513" t="s">
        <v>508</v>
      </c>
      <c r="C25" s="825"/>
      <c r="D25" s="500"/>
      <c r="E25" s="499"/>
      <c r="F25" s="500"/>
      <c r="G25" s="499"/>
      <c r="H25" s="499"/>
      <c r="I25" s="499"/>
      <c r="J25" s="499"/>
      <c r="K25" s="550">
        <f aca="true" t="shared" si="4" ref="K25:P25">K26+K32</f>
        <v>13473</v>
      </c>
      <c r="L25" s="550">
        <f t="shared" si="4"/>
        <v>11993</v>
      </c>
      <c r="M25" s="550">
        <f t="shared" si="4"/>
        <v>1480</v>
      </c>
      <c r="N25" s="550">
        <f t="shared" si="4"/>
        <v>13473</v>
      </c>
      <c r="O25" s="550">
        <f t="shared" si="4"/>
        <v>11993</v>
      </c>
      <c r="P25" s="550">
        <f t="shared" si="4"/>
        <v>1480</v>
      </c>
      <c r="Q25" s="550">
        <f>Q26+Q32</f>
        <v>0</v>
      </c>
      <c r="R25" s="550">
        <f>R26+R32</f>
        <v>0</v>
      </c>
      <c r="S25" s="550">
        <f>S26+S32</f>
        <v>0</v>
      </c>
      <c r="T25" s="550">
        <f>T26+T32</f>
        <v>1480</v>
      </c>
      <c r="U25" s="550">
        <f>U26+U32</f>
        <v>0</v>
      </c>
      <c r="V25" s="550"/>
      <c r="W25" s="550"/>
      <c r="X25" s="550"/>
      <c r="Y25" s="550"/>
      <c r="Z25" s="499"/>
    </row>
    <row r="26" spans="1:26" ht="46.5" customHeight="1">
      <c r="A26" s="217" t="s">
        <v>257</v>
      </c>
      <c r="B26" s="513" t="s">
        <v>510</v>
      </c>
      <c r="C26" s="825"/>
      <c r="D26" s="500"/>
      <c r="E26" s="501"/>
      <c r="F26" s="500"/>
      <c r="G26" s="501"/>
      <c r="H26" s="501"/>
      <c r="I26" s="501"/>
      <c r="J26" s="501"/>
      <c r="K26" s="550">
        <f aca="true" t="shared" si="5" ref="K26:U26">K27+K28+K29+K30</f>
        <v>1480</v>
      </c>
      <c r="L26" s="550">
        <f t="shared" si="5"/>
        <v>0</v>
      </c>
      <c r="M26" s="550">
        <f t="shared" si="5"/>
        <v>1480</v>
      </c>
      <c r="N26" s="550">
        <f t="shared" si="5"/>
        <v>1480</v>
      </c>
      <c r="O26" s="550">
        <f t="shared" si="5"/>
        <v>0</v>
      </c>
      <c r="P26" s="550">
        <f t="shared" si="5"/>
        <v>1480</v>
      </c>
      <c r="Q26" s="550">
        <f t="shared" si="5"/>
        <v>0</v>
      </c>
      <c r="R26" s="550">
        <f t="shared" si="5"/>
        <v>0</v>
      </c>
      <c r="S26" s="550">
        <f t="shared" si="5"/>
        <v>0</v>
      </c>
      <c r="T26" s="550">
        <f t="shared" si="5"/>
        <v>1480</v>
      </c>
      <c r="U26" s="550">
        <f t="shared" si="5"/>
        <v>0</v>
      </c>
      <c r="V26" s="550"/>
      <c r="W26" s="550"/>
      <c r="X26" s="550"/>
      <c r="Y26" s="550"/>
      <c r="Z26" s="500"/>
    </row>
    <row r="27" spans="1:26" ht="27.75" customHeight="1">
      <c r="A27" s="217"/>
      <c r="B27" s="646" t="s">
        <v>287</v>
      </c>
      <c r="C27" s="825"/>
      <c r="D27" s="500"/>
      <c r="E27" s="501"/>
      <c r="F27" s="500"/>
      <c r="G27" s="501"/>
      <c r="H27" s="501"/>
      <c r="I27" s="501"/>
      <c r="J27" s="501"/>
      <c r="K27" s="550">
        <f>L27+M27</f>
        <v>240</v>
      </c>
      <c r="L27" s="550"/>
      <c r="M27" s="550">
        <f>P27+X27</f>
        <v>240</v>
      </c>
      <c r="N27" s="550">
        <f t="shared" si="2"/>
        <v>240</v>
      </c>
      <c r="O27" s="550"/>
      <c r="P27" s="550">
        <f>80*3</f>
        <v>240</v>
      </c>
      <c r="Q27" s="550"/>
      <c r="R27" s="550"/>
      <c r="S27" s="550"/>
      <c r="T27" s="550">
        <f>P27</f>
        <v>240</v>
      </c>
      <c r="U27" s="550"/>
      <c r="V27" s="550"/>
      <c r="W27" s="550"/>
      <c r="X27" s="550"/>
      <c r="Y27" s="550"/>
      <c r="Z27" s="500"/>
    </row>
    <row r="28" spans="1:26" ht="26.25" customHeight="1">
      <c r="A28" s="217"/>
      <c r="B28" s="646" t="s">
        <v>288</v>
      </c>
      <c r="C28" s="825"/>
      <c r="D28" s="500"/>
      <c r="E28" s="501"/>
      <c r="F28" s="500"/>
      <c r="G28" s="501"/>
      <c r="H28" s="501"/>
      <c r="I28" s="501"/>
      <c r="J28" s="501"/>
      <c r="K28" s="550">
        <f>L28+M28</f>
        <v>300</v>
      </c>
      <c r="L28" s="550"/>
      <c r="M28" s="550">
        <f>P28+X28</f>
        <v>300</v>
      </c>
      <c r="N28" s="550">
        <f t="shared" si="2"/>
        <v>300</v>
      </c>
      <c r="O28" s="550"/>
      <c r="P28" s="550">
        <f>100*3</f>
        <v>300</v>
      </c>
      <c r="Q28" s="550"/>
      <c r="R28" s="550"/>
      <c r="S28" s="550"/>
      <c r="T28" s="550">
        <f>P28</f>
        <v>300</v>
      </c>
      <c r="U28" s="550"/>
      <c r="V28" s="550"/>
      <c r="W28" s="550"/>
      <c r="X28" s="550"/>
      <c r="Y28" s="550"/>
      <c r="Z28" s="500"/>
    </row>
    <row r="29" spans="1:29" ht="24.75" customHeight="1">
      <c r="A29" s="214"/>
      <c r="B29" s="513" t="s">
        <v>289</v>
      </c>
      <c r="C29" s="825"/>
      <c r="D29" s="500"/>
      <c r="E29" s="501"/>
      <c r="F29" s="500"/>
      <c r="G29" s="501"/>
      <c r="H29" s="501"/>
      <c r="I29" s="501"/>
      <c r="J29" s="501"/>
      <c r="K29" s="550">
        <f>L29+M29</f>
        <v>820</v>
      </c>
      <c r="L29" s="550"/>
      <c r="M29" s="550">
        <f>P29+X29</f>
        <v>820</v>
      </c>
      <c r="N29" s="550">
        <f t="shared" si="2"/>
        <v>820</v>
      </c>
      <c r="O29" s="551"/>
      <c r="P29" s="551">
        <v>820</v>
      </c>
      <c r="Q29" s="551"/>
      <c r="R29" s="551"/>
      <c r="S29" s="551"/>
      <c r="T29" s="550">
        <f>P29</f>
        <v>820</v>
      </c>
      <c r="U29" s="550"/>
      <c r="V29" s="626"/>
      <c r="W29" s="553"/>
      <c r="X29" s="643"/>
      <c r="Y29" s="643"/>
      <c r="Z29" s="499"/>
      <c r="AC29" s="150" t="s">
        <v>863</v>
      </c>
    </row>
    <row r="30" spans="1:26" ht="24.75" customHeight="1">
      <c r="A30" s="214"/>
      <c r="B30" s="646" t="s">
        <v>290</v>
      </c>
      <c r="C30" s="825"/>
      <c r="D30" s="500"/>
      <c r="E30" s="501"/>
      <c r="F30" s="500"/>
      <c r="G30" s="501"/>
      <c r="H30" s="501"/>
      <c r="I30" s="501"/>
      <c r="J30" s="501"/>
      <c r="K30" s="550">
        <f>L30+M30</f>
        <v>120</v>
      </c>
      <c r="L30" s="550"/>
      <c r="M30" s="550">
        <f>P30+X30</f>
        <v>120</v>
      </c>
      <c r="N30" s="550">
        <f t="shared" si="2"/>
        <v>120</v>
      </c>
      <c r="O30" s="551"/>
      <c r="P30" s="550">
        <f>40*3</f>
        <v>120</v>
      </c>
      <c r="Q30" s="551"/>
      <c r="R30" s="551"/>
      <c r="S30" s="551"/>
      <c r="T30" s="550">
        <f>P30</f>
        <v>120</v>
      </c>
      <c r="U30" s="550"/>
      <c r="V30" s="626"/>
      <c r="W30" s="553"/>
      <c r="X30" s="643"/>
      <c r="Y30" s="643"/>
      <c r="Z30" s="499"/>
    </row>
    <row r="31" spans="1:26" ht="24.75" customHeight="1">
      <c r="A31" s="214"/>
      <c r="B31" s="646" t="s">
        <v>295</v>
      </c>
      <c r="C31" s="825"/>
      <c r="D31" s="500"/>
      <c r="E31" s="501"/>
      <c r="F31" s="500"/>
      <c r="G31" s="501"/>
      <c r="H31" s="501"/>
      <c r="I31" s="501"/>
      <c r="J31" s="501"/>
      <c r="K31" s="550">
        <f>L31+M31</f>
        <v>0</v>
      </c>
      <c r="L31" s="550"/>
      <c r="M31" s="550"/>
      <c r="N31" s="550"/>
      <c r="O31" s="551"/>
      <c r="P31" s="551"/>
      <c r="Q31" s="551"/>
      <c r="R31" s="551"/>
      <c r="S31" s="551"/>
      <c r="T31" s="550">
        <f>P31</f>
        <v>0</v>
      </c>
      <c r="U31" s="550"/>
      <c r="V31" s="626"/>
      <c r="W31" s="553"/>
      <c r="X31" s="643"/>
      <c r="Y31" s="643"/>
      <c r="Z31" s="499"/>
    </row>
    <row r="32" spans="1:26" ht="24.75" customHeight="1">
      <c r="A32" s="217" t="s">
        <v>259</v>
      </c>
      <c r="B32" s="513" t="s">
        <v>512</v>
      </c>
      <c r="C32" s="826"/>
      <c r="D32" s="500"/>
      <c r="E32" s="499"/>
      <c r="F32" s="500"/>
      <c r="G32" s="499"/>
      <c r="H32" s="499"/>
      <c r="I32" s="499"/>
      <c r="J32" s="499"/>
      <c r="K32" s="551">
        <f>SUM(K33:K35)</f>
        <v>11993</v>
      </c>
      <c r="L32" s="551">
        <f>SUM(L33:L35)</f>
        <v>11993</v>
      </c>
      <c r="M32" s="551"/>
      <c r="N32" s="551">
        <f>SUM(N33:N35)</f>
        <v>11993</v>
      </c>
      <c r="O32" s="551">
        <f>SUM(O33:O35)</f>
        <v>11993</v>
      </c>
      <c r="P32" s="551"/>
      <c r="Q32" s="551"/>
      <c r="R32" s="551"/>
      <c r="S32" s="551"/>
      <c r="T32" s="551"/>
      <c r="U32" s="551"/>
      <c r="V32" s="551"/>
      <c r="W32" s="551"/>
      <c r="X32" s="551"/>
      <c r="Y32" s="551"/>
      <c r="Z32" s="500"/>
    </row>
    <row r="33" spans="1:26" ht="24.75" customHeight="1">
      <c r="A33" s="214"/>
      <c r="B33" s="646" t="s">
        <v>287</v>
      </c>
      <c r="C33" s="642"/>
      <c r="D33" s="500"/>
      <c r="E33" s="499"/>
      <c r="F33" s="500"/>
      <c r="G33" s="499"/>
      <c r="H33" s="499"/>
      <c r="I33" s="499"/>
      <c r="J33" s="499"/>
      <c r="K33" s="550">
        <f>L33+M33</f>
        <v>11393</v>
      </c>
      <c r="L33" s="550">
        <f>O33+W33</f>
        <v>11393</v>
      </c>
      <c r="M33" s="550"/>
      <c r="N33" s="550">
        <f t="shared" si="2"/>
        <v>11393</v>
      </c>
      <c r="O33" s="551">
        <v>11393</v>
      </c>
      <c r="P33" s="551"/>
      <c r="Q33" s="551"/>
      <c r="R33" s="551"/>
      <c r="S33" s="551"/>
      <c r="T33" s="551"/>
      <c r="U33" s="551"/>
      <c r="V33" s="626"/>
      <c r="W33" s="550"/>
      <c r="X33" s="643"/>
      <c r="Y33" s="643"/>
      <c r="Z33" s="499"/>
    </row>
    <row r="34" spans="1:26" ht="24.75" customHeight="1">
      <c r="A34" s="214"/>
      <c r="B34" s="646" t="s">
        <v>288</v>
      </c>
      <c r="C34" s="642"/>
      <c r="D34" s="500"/>
      <c r="E34" s="499"/>
      <c r="F34" s="500"/>
      <c r="G34" s="499"/>
      <c r="H34" s="499"/>
      <c r="I34" s="499"/>
      <c r="J34" s="499"/>
      <c r="K34" s="550">
        <f>L34+M34</f>
        <v>300</v>
      </c>
      <c r="L34" s="550">
        <f>O34+W34</f>
        <v>300</v>
      </c>
      <c r="M34" s="550"/>
      <c r="N34" s="550">
        <f t="shared" si="2"/>
        <v>300</v>
      </c>
      <c r="O34" s="551">
        <v>300</v>
      </c>
      <c r="P34" s="551"/>
      <c r="Q34" s="551"/>
      <c r="R34" s="551"/>
      <c r="S34" s="551"/>
      <c r="T34" s="551"/>
      <c r="U34" s="551"/>
      <c r="V34" s="626"/>
      <c r="W34" s="550"/>
      <c r="X34" s="643"/>
      <c r="Y34" s="643"/>
      <c r="Z34" s="499"/>
    </row>
    <row r="35" spans="1:26" ht="24.75" customHeight="1">
      <c r="A35" s="214"/>
      <c r="B35" s="646" t="s">
        <v>289</v>
      </c>
      <c r="C35" s="642"/>
      <c r="D35" s="500"/>
      <c r="E35" s="499"/>
      <c r="F35" s="500"/>
      <c r="G35" s="499"/>
      <c r="H35" s="499"/>
      <c r="I35" s="499"/>
      <c r="J35" s="499"/>
      <c r="K35" s="550">
        <f>L35+M35</f>
        <v>300</v>
      </c>
      <c r="L35" s="550">
        <f>O35+W35</f>
        <v>300</v>
      </c>
      <c r="M35" s="550"/>
      <c r="N35" s="550">
        <f t="shared" si="2"/>
        <v>300</v>
      </c>
      <c r="O35" s="551">
        <v>300</v>
      </c>
      <c r="P35" s="551"/>
      <c r="Q35" s="551"/>
      <c r="R35" s="551"/>
      <c r="S35" s="551"/>
      <c r="T35" s="551"/>
      <c r="U35" s="551"/>
      <c r="V35" s="626"/>
      <c r="W35" s="550"/>
      <c r="X35" s="643"/>
      <c r="Y35" s="643"/>
      <c r="Z35" s="499"/>
    </row>
    <row r="36" spans="1:26" s="72" customFormat="1" ht="61.5" customHeight="1">
      <c r="A36" s="214" t="s">
        <v>15</v>
      </c>
      <c r="B36" s="516" t="s">
        <v>729</v>
      </c>
      <c r="C36" s="500" t="s">
        <v>705</v>
      </c>
      <c r="D36" s="497"/>
      <c r="E36" s="645"/>
      <c r="F36" s="497"/>
      <c r="G36" s="645"/>
      <c r="H36" s="645"/>
      <c r="I36" s="645"/>
      <c r="J36" s="645"/>
      <c r="K36" s="553">
        <f>L36+M36</f>
        <v>8846</v>
      </c>
      <c r="L36" s="553">
        <f>O36+W36</f>
        <v>8846</v>
      </c>
      <c r="M36" s="553"/>
      <c r="N36" s="553">
        <f>O36+P36</f>
        <v>8846</v>
      </c>
      <c r="O36" s="553">
        <v>8846</v>
      </c>
      <c r="P36" s="553"/>
      <c r="Q36" s="553"/>
      <c r="R36" s="553"/>
      <c r="S36" s="553"/>
      <c r="T36" s="553"/>
      <c r="U36" s="553"/>
      <c r="V36" s="553"/>
      <c r="W36" s="553"/>
      <c r="X36" s="553"/>
      <c r="Y36" s="553"/>
      <c r="Z36" s="500"/>
    </row>
    <row r="37" spans="1:26" s="72" customFormat="1" ht="83.25" customHeight="1">
      <c r="A37" s="214" t="s">
        <v>12</v>
      </c>
      <c r="B37" s="517" t="s">
        <v>346</v>
      </c>
      <c r="C37" s="497"/>
      <c r="D37" s="497"/>
      <c r="E37" s="645"/>
      <c r="F37" s="497"/>
      <c r="G37" s="645"/>
      <c r="H37" s="645"/>
      <c r="I37" s="645"/>
      <c r="J37" s="645"/>
      <c r="K37" s="553">
        <f aca="true" t="shared" si="6" ref="K37:U37">K38+K39</f>
        <v>29757</v>
      </c>
      <c r="L37" s="553">
        <f t="shared" si="6"/>
        <v>6181</v>
      </c>
      <c r="M37" s="553">
        <f t="shared" si="6"/>
        <v>23576</v>
      </c>
      <c r="N37" s="553">
        <f t="shared" si="6"/>
        <v>29757</v>
      </c>
      <c r="O37" s="553">
        <f t="shared" si="6"/>
        <v>6181</v>
      </c>
      <c r="P37" s="553">
        <f>P38+P39</f>
        <v>23576</v>
      </c>
      <c r="Q37" s="553">
        <f>Q38+Q39</f>
        <v>0</v>
      </c>
      <c r="R37" s="553">
        <f>R38+R39</f>
        <v>2805</v>
      </c>
      <c r="S37" s="553">
        <f>S38+S39</f>
        <v>0</v>
      </c>
      <c r="T37" s="553">
        <f>T38+T39</f>
        <v>20771</v>
      </c>
      <c r="U37" s="553">
        <f t="shared" si="6"/>
        <v>0</v>
      </c>
      <c r="V37" s="553"/>
      <c r="W37" s="553"/>
      <c r="X37" s="553"/>
      <c r="Y37" s="553"/>
      <c r="Z37" s="498"/>
    </row>
    <row r="38" spans="1:26" ht="71.25" customHeight="1">
      <c r="A38" s="217">
        <v>1</v>
      </c>
      <c r="B38" s="518" t="s">
        <v>515</v>
      </c>
      <c r="C38" s="500" t="s">
        <v>769</v>
      </c>
      <c r="D38" s="500"/>
      <c r="E38" s="499"/>
      <c r="F38" s="500"/>
      <c r="G38" s="499"/>
      <c r="H38" s="499"/>
      <c r="I38" s="499"/>
      <c r="J38" s="499"/>
      <c r="K38" s="550">
        <f>SUM(L38:M38)</f>
        <v>10789</v>
      </c>
      <c r="L38" s="550"/>
      <c r="M38" s="550">
        <f>P38+X38</f>
        <v>10789</v>
      </c>
      <c r="N38" s="550">
        <f>SUM(O38:P38)</f>
        <v>10789</v>
      </c>
      <c r="O38" s="648"/>
      <c r="P38" s="648">
        <v>10789</v>
      </c>
      <c r="Q38" s="648"/>
      <c r="R38" s="648"/>
      <c r="S38" s="648"/>
      <c r="T38" s="648">
        <f>K38</f>
        <v>10789</v>
      </c>
      <c r="U38" s="648"/>
      <c r="V38" s="643"/>
      <c r="W38" s="643"/>
      <c r="X38" s="643"/>
      <c r="Y38" s="643"/>
      <c r="Z38" s="499"/>
    </row>
    <row r="39" spans="1:26" ht="85.5" customHeight="1">
      <c r="A39" s="217">
        <v>2</v>
      </c>
      <c r="B39" s="521" t="s">
        <v>516</v>
      </c>
      <c r="C39" s="500"/>
      <c r="D39" s="500"/>
      <c r="E39" s="499"/>
      <c r="F39" s="500"/>
      <c r="G39" s="499"/>
      <c r="H39" s="499"/>
      <c r="I39" s="499"/>
      <c r="J39" s="499"/>
      <c r="K39" s="550">
        <f aca="true" t="shared" si="7" ref="K39:U39">K40+K41</f>
        <v>18968</v>
      </c>
      <c r="L39" s="550">
        <f t="shared" si="7"/>
        <v>6181</v>
      </c>
      <c r="M39" s="550">
        <f t="shared" si="7"/>
        <v>12787</v>
      </c>
      <c r="N39" s="550">
        <f>N40+N41</f>
        <v>18968</v>
      </c>
      <c r="O39" s="550">
        <f t="shared" si="7"/>
        <v>6181</v>
      </c>
      <c r="P39" s="550">
        <f t="shared" si="7"/>
        <v>12787</v>
      </c>
      <c r="Q39" s="550">
        <f t="shared" si="7"/>
        <v>0</v>
      </c>
      <c r="R39" s="550">
        <f t="shared" si="7"/>
        <v>2805</v>
      </c>
      <c r="S39" s="550">
        <f t="shared" si="7"/>
        <v>0</v>
      </c>
      <c r="T39" s="550">
        <f t="shared" si="7"/>
        <v>9982</v>
      </c>
      <c r="U39" s="550">
        <f t="shared" si="7"/>
        <v>0</v>
      </c>
      <c r="V39" s="550"/>
      <c r="W39" s="550"/>
      <c r="X39" s="550"/>
      <c r="Y39" s="550"/>
      <c r="Z39" s="499"/>
    </row>
    <row r="40" spans="1:26" ht="40.5" customHeight="1">
      <c r="A40" s="217"/>
      <c r="B40" s="521" t="s">
        <v>771</v>
      </c>
      <c r="C40" s="500" t="s">
        <v>565</v>
      </c>
      <c r="D40" s="500"/>
      <c r="E40" s="499"/>
      <c r="F40" s="500"/>
      <c r="G40" s="499"/>
      <c r="H40" s="499"/>
      <c r="I40" s="499"/>
      <c r="J40" s="499"/>
      <c r="K40" s="550">
        <f>L40+M40</f>
        <v>8986</v>
      </c>
      <c r="L40" s="550">
        <v>6181</v>
      </c>
      <c r="M40" s="550">
        <f>P40</f>
        <v>2805</v>
      </c>
      <c r="N40" s="550">
        <f>O40+P40</f>
        <v>8986</v>
      </c>
      <c r="O40" s="550">
        <v>6181</v>
      </c>
      <c r="P40" s="550">
        <v>2805</v>
      </c>
      <c r="Q40" s="550"/>
      <c r="R40" s="550">
        <f>P40</f>
        <v>2805</v>
      </c>
      <c r="S40" s="550"/>
      <c r="T40" s="550"/>
      <c r="U40" s="550"/>
      <c r="V40" s="550"/>
      <c r="W40" s="643"/>
      <c r="X40" s="643"/>
      <c r="Y40" s="643"/>
      <c r="Z40" s="499"/>
    </row>
    <row r="41" spans="1:26" ht="40.5" customHeight="1">
      <c r="A41" s="217"/>
      <c r="B41" s="521" t="s">
        <v>770</v>
      </c>
      <c r="C41" s="500"/>
      <c r="D41" s="500"/>
      <c r="E41" s="499"/>
      <c r="F41" s="500"/>
      <c r="G41" s="499"/>
      <c r="H41" s="499"/>
      <c r="I41" s="499"/>
      <c r="J41" s="499"/>
      <c r="K41" s="550">
        <f aca="true" t="shared" si="8" ref="K41:P41">K42+K43+K44+K45+K46</f>
        <v>9982</v>
      </c>
      <c r="L41" s="550">
        <f t="shared" si="8"/>
        <v>0</v>
      </c>
      <c r="M41" s="550">
        <f t="shared" si="8"/>
        <v>9982</v>
      </c>
      <c r="N41" s="550">
        <f t="shared" si="8"/>
        <v>9982</v>
      </c>
      <c r="O41" s="550">
        <f t="shared" si="8"/>
        <v>0</v>
      </c>
      <c r="P41" s="550">
        <f t="shared" si="8"/>
        <v>9982</v>
      </c>
      <c r="Q41" s="550"/>
      <c r="R41" s="550"/>
      <c r="S41" s="550"/>
      <c r="T41" s="550">
        <f aca="true" t="shared" si="9" ref="T41:T46">K41</f>
        <v>9982</v>
      </c>
      <c r="U41" s="550"/>
      <c r="V41" s="550"/>
      <c r="W41" s="643"/>
      <c r="X41" s="643"/>
      <c r="Y41" s="643"/>
      <c r="Z41" s="499"/>
    </row>
    <row r="42" spans="1:27" ht="50.25" customHeight="1">
      <c r="A42" s="217"/>
      <c r="B42" s="521" t="s">
        <v>696</v>
      </c>
      <c r="C42" s="500" t="s">
        <v>772</v>
      </c>
      <c r="D42" s="500"/>
      <c r="E42" s="499"/>
      <c r="F42" s="500"/>
      <c r="G42" s="499"/>
      <c r="H42" s="499"/>
      <c r="I42" s="499"/>
      <c r="J42" s="499"/>
      <c r="K42" s="550">
        <f>L42+M42</f>
        <v>4586</v>
      </c>
      <c r="L42" s="550"/>
      <c r="M42" s="550">
        <f>P42+X42</f>
        <v>4586</v>
      </c>
      <c r="N42" s="550">
        <f>O42+P42</f>
        <v>4586</v>
      </c>
      <c r="O42" s="550"/>
      <c r="P42" s="550">
        <f>'II.2.Biểu huyen, xa'!I14</f>
        <v>4586</v>
      </c>
      <c r="Q42" s="550"/>
      <c r="R42" s="550"/>
      <c r="S42" s="550"/>
      <c r="T42" s="550">
        <f t="shared" si="9"/>
        <v>4586</v>
      </c>
      <c r="U42" s="550"/>
      <c r="V42" s="550"/>
      <c r="W42" s="643"/>
      <c r="X42" s="643"/>
      <c r="Y42" s="643"/>
      <c r="Z42" s="500"/>
      <c r="AA42" s="567"/>
    </row>
    <row r="43" spans="1:26" ht="24.75" customHeight="1">
      <c r="A43" s="217"/>
      <c r="B43" s="521" t="s">
        <v>697</v>
      </c>
      <c r="C43" s="500" t="s">
        <v>704</v>
      </c>
      <c r="D43" s="500"/>
      <c r="E43" s="499"/>
      <c r="F43" s="500"/>
      <c r="G43" s="499"/>
      <c r="H43" s="499"/>
      <c r="I43" s="499"/>
      <c r="J43" s="499"/>
      <c r="K43" s="550">
        <f>L43+M43</f>
        <v>2777</v>
      </c>
      <c r="L43" s="550"/>
      <c r="M43" s="550">
        <f>P43+X43</f>
        <v>2777</v>
      </c>
      <c r="N43" s="550">
        <f>O43+P43</f>
        <v>2777</v>
      </c>
      <c r="O43" s="550"/>
      <c r="P43" s="550">
        <f>'II.2.Biểu huyen, xa'!G33</f>
        <v>2777</v>
      </c>
      <c r="Q43" s="550"/>
      <c r="R43" s="550"/>
      <c r="S43" s="550"/>
      <c r="T43" s="550">
        <f t="shared" si="9"/>
        <v>2777</v>
      </c>
      <c r="U43" s="550"/>
      <c r="V43" s="550"/>
      <c r="W43" s="643"/>
      <c r="X43" s="643"/>
      <c r="Y43" s="643"/>
      <c r="Z43" s="499"/>
    </row>
    <row r="44" spans="1:26" ht="24.75" customHeight="1">
      <c r="A44" s="217"/>
      <c r="B44" s="521" t="s">
        <v>698</v>
      </c>
      <c r="C44" s="500" t="s">
        <v>704</v>
      </c>
      <c r="D44" s="500"/>
      <c r="E44" s="499"/>
      <c r="F44" s="500"/>
      <c r="G44" s="499"/>
      <c r="H44" s="499"/>
      <c r="I44" s="499"/>
      <c r="J44" s="499"/>
      <c r="K44" s="550">
        <f>L44+M44</f>
        <v>1545</v>
      </c>
      <c r="L44" s="550"/>
      <c r="M44" s="550">
        <f>P44+X44</f>
        <v>1545</v>
      </c>
      <c r="N44" s="550">
        <f>O44+P44</f>
        <v>1545</v>
      </c>
      <c r="O44" s="550"/>
      <c r="P44" s="550">
        <f>'II.2.Biểu huyen, xa'!G49</f>
        <v>1545</v>
      </c>
      <c r="Q44" s="550"/>
      <c r="R44" s="550"/>
      <c r="S44" s="550"/>
      <c r="T44" s="550">
        <f t="shared" si="9"/>
        <v>1545</v>
      </c>
      <c r="U44" s="550"/>
      <c r="V44" s="550"/>
      <c r="W44" s="643"/>
      <c r="X44" s="643"/>
      <c r="Y44" s="643"/>
      <c r="Z44" s="499"/>
    </row>
    <row r="45" spans="1:26" ht="24.75" customHeight="1">
      <c r="A45" s="217"/>
      <c r="B45" s="521" t="s">
        <v>699</v>
      </c>
      <c r="C45" s="500" t="s">
        <v>704</v>
      </c>
      <c r="D45" s="500"/>
      <c r="E45" s="499"/>
      <c r="F45" s="500"/>
      <c r="G45" s="499"/>
      <c r="H45" s="499"/>
      <c r="I45" s="499"/>
      <c r="J45" s="499"/>
      <c r="K45" s="550">
        <f>L45+M45</f>
        <v>993</v>
      </c>
      <c r="L45" s="550"/>
      <c r="M45" s="550">
        <f>P45+X45</f>
        <v>993</v>
      </c>
      <c r="N45" s="550">
        <f>O45+P45</f>
        <v>993</v>
      </c>
      <c r="O45" s="550"/>
      <c r="P45" s="550">
        <f>'II.2.Biểu huyen, xa'!G58</f>
        <v>993</v>
      </c>
      <c r="Q45" s="550"/>
      <c r="R45" s="550"/>
      <c r="S45" s="550"/>
      <c r="T45" s="550">
        <f t="shared" si="9"/>
        <v>993</v>
      </c>
      <c r="U45" s="550"/>
      <c r="V45" s="550"/>
      <c r="W45" s="643"/>
      <c r="X45" s="643"/>
      <c r="Y45" s="643"/>
      <c r="Z45" s="499"/>
    </row>
    <row r="46" spans="1:26" ht="24.75" customHeight="1">
      <c r="A46" s="217"/>
      <c r="B46" s="521" t="s">
        <v>700</v>
      </c>
      <c r="C46" s="500" t="s">
        <v>704</v>
      </c>
      <c r="D46" s="500"/>
      <c r="E46" s="499"/>
      <c r="F46" s="500"/>
      <c r="G46" s="499"/>
      <c r="H46" s="499"/>
      <c r="I46" s="499"/>
      <c r="J46" s="499"/>
      <c r="K46" s="550">
        <f>L46+M46</f>
        <v>81</v>
      </c>
      <c r="L46" s="550"/>
      <c r="M46" s="550">
        <f>P46+X46</f>
        <v>81</v>
      </c>
      <c r="N46" s="550">
        <f>O46+P46</f>
        <v>81</v>
      </c>
      <c r="O46" s="550"/>
      <c r="P46" s="550">
        <f>'II.2.Biểu huyen, xa'!G12</f>
        <v>81</v>
      </c>
      <c r="Q46" s="550"/>
      <c r="R46" s="550"/>
      <c r="S46" s="550"/>
      <c r="T46" s="550">
        <f t="shared" si="9"/>
        <v>81</v>
      </c>
      <c r="U46" s="550"/>
      <c r="V46" s="550"/>
      <c r="W46" s="643"/>
      <c r="X46" s="643"/>
      <c r="Y46" s="643"/>
      <c r="Z46" s="499"/>
    </row>
    <row r="47" spans="1:26" s="72" customFormat="1" ht="73.5" customHeight="1">
      <c r="A47" s="214" t="s">
        <v>16</v>
      </c>
      <c r="B47" s="517" t="s">
        <v>347</v>
      </c>
      <c r="C47" s="497"/>
      <c r="D47" s="497"/>
      <c r="E47" s="498"/>
      <c r="F47" s="497"/>
      <c r="G47" s="498"/>
      <c r="H47" s="498"/>
      <c r="I47" s="498"/>
      <c r="J47" s="498"/>
      <c r="K47" s="553">
        <f>K48</f>
        <v>119733</v>
      </c>
      <c r="L47" s="553">
        <f aca="true" t="shared" si="10" ref="L47:Z47">L48</f>
        <v>100621</v>
      </c>
      <c r="M47" s="553">
        <f t="shared" si="10"/>
        <v>4112</v>
      </c>
      <c r="N47" s="553">
        <f t="shared" si="10"/>
        <v>89733</v>
      </c>
      <c r="O47" s="553">
        <f t="shared" si="10"/>
        <v>85621</v>
      </c>
      <c r="P47" s="553">
        <f t="shared" si="10"/>
        <v>4112</v>
      </c>
      <c r="Q47" s="553">
        <f t="shared" si="10"/>
        <v>0</v>
      </c>
      <c r="R47" s="553">
        <f t="shared" si="10"/>
        <v>0</v>
      </c>
      <c r="S47" s="553">
        <f t="shared" si="10"/>
        <v>0</v>
      </c>
      <c r="T47" s="553">
        <f t="shared" si="10"/>
        <v>4112</v>
      </c>
      <c r="U47" s="553">
        <f t="shared" si="10"/>
        <v>0</v>
      </c>
      <c r="V47" s="553">
        <f t="shared" si="10"/>
        <v>15000</v>
      </c>
      <c r="W47" s="553">
        <f t="shared" si="10"/>
        <v>15000</v>
      </c>
      <c r="X47" s="553">
        <f t="shared" si="10"/>
        <v>0</v>
      </c>
      <c r="Y47" s="553">
        <f t="shared" si="10"/>
        <v>0</v>
      </c>
      <c r="Z47" s="553">
        <f t="shared" si="10"/>
        <v>15000</v>
      </c>
    </row>
    <row r="48" spans="1:29" ht="57.75" customHeight="1">
      <c r="A48" s="217">
        <v>1</v>
      </c>
      <c r="B48" s="521" t="s">
        <v>517</v>
      </c>
      <c r="C48" s="500"/>
      <c r="D48" s="500"/>
      <c r="E48" s="499"/>
      <c r="F48" s="500"/>
      <c r="G48" s="499"/>
      <c r="H48" s="499"/>
      <c r="I48" s="499"/>
      <c r="J48" s="499"/>
      <c r="K48" s="550">
        <f>K49+K57+K63+K66+K67+K72</f>
        <v>119733</v>
      </c>
      <c r="L48" s="550">
        <f aca="true" t="shared" si="11" ref="L48:Z48">L49+L57+L63+L66+L67+L72</f>
        <v>100621</v>
      </c>
      <c r="M48" s="550">
        <f t="shared" si="11"/>
        <v>4112</v>
      </c>
      <c r="N48" s="550">
        <f t="shared" si="11"/>
        <v>89733</v>
      </c>
      <c r="O48" s="550">
        <f t="shared" si="11"/>
        <v>85621</v>
      </c>
      <c r="P48" s="550">
        <f t="shared" si="11"/>
        <v>4112</v>
      </c>
      <c r="Q48" s="550"/>
      <c r="R48" s="550"/>
      <c r="S48" s="550"/>
      <c r="T48" s="550">
        <f>P48</f>
        <v>4112</v>
      </c>
      <c r="U48" s="550"/>
      <c r="V48" s="550">
        <f t="shared" si="11"/>
        <v>15000</v>
      </c>
      <c r="W48" s="550">
        <f t="shared" si="11"/>
        <v>15000</v>
      </c>
      <c r="X48" s="550">
        <f t="shared" si="11"/>
        <v>0</v>
      </c>
      <c r="Y48" s="550">
        <f t="shared" si="11"/>
        <v>0</v>
      </c>
      <c r="Z48" s="550">
        <f t="shared" si="11"/>
        <v>15000</v>
      </c>
      <c r="AA48" s="567"/>
      <c r="AC48" s="647"/>
    </row>
    <row r="49" spans="1:26" ht="35.25" customHeight="1">
      <c r="A49" s="500" t="s">
        <v>540</v>
      </c>
      <c r="B49" s="518" t="s">
        <v>719</v>
      </c>
      <c r="C49" s="500"/>
      <c r="D49" s="500"/>
      <c r="E49" s="499"/>
      <c r="F49" s="500"/>
      <c r="G49" s="499"/>
      <c r="H49" s="499"/>
      <c r="I49" s="499"/>
      <c r="J49" s="499"/>
      <c r="K49" s="550">
        <f>K50+K56</f>
        <v>63465</v>
      </c>
      <c r="L49" s="550">
        <f>L50+L56</f>
        <v>63465</v>
      </c>
      <c r="M49" s="550"/>
      <c r="N49" s="550">
        <f>N50+N56</f>
        <v>60465</v>
      </c>
      <c r="O49" s="550">
        <f>O50+O56</f>
        <v>60465</v>
      </c>
      <c r="P49" s="550"/>
      <c r="Q49" s="550"/>
      <c r="R49" s="550"/>
      <c r="S49" s="550"/>
      <c r="T49" s="550"/>
      <c r="U49" s="550"/>
      <c r="V49" s="550">
        <f>V50+V56</f>
        <v>3000</v>
      </c>
      <c r="W49" s="550">
        <f>W50+W56</f>
        <v>3000</v>
      </c>
      <c r="X49" s="550"/>
      <c r="Y49" s="550"/>
      <c r="Z49" s="579"/>
    </row>
    <row r="50" spans="1:27" ht="30.75" customHeight="1">
      <c r="A50" s="500"/>
      <c r="B50" s="513" t="s">
        <v>706</v>
      </c>
      <c r="C50" s="500" t="s">
        <v>731</v>
      </c>
      <c r="D50" s="500"/>
      <c r="E50" s="499"/>
      <c r="F50" s="500"/>
      <c r="G50" s="499"/>
      <c r="H50" s="550"/>
      <c r="I50" s="550"/>
      <c r="J50" s="550"/>
      <c r="K50" s="550">
        <f>SUM(K51:K55)</f>
        <v>57815</v>
      </c>
      <c r="L50" s="550">
        <f>SUM(L51:L55)</f>
        <v>57815</v>
      </c>
      <c r="M50" s="550"/>
      <c r="N50" s="550">
        <f>SUM(N51:N55)</f>
        <v>57815</v>
      </c>
      <c r="O50" s="550">
        <f>SUM(O51:O55)</f>
        <v>57815</v>
      </c>
      <c r="P50" s="550"/>
      <c r="Q50" s="550"/>
      <c r="R50" s="550"/>
      <c r="S50" s="550"/>
      <c r="T50" s="550"/>
      <c r="U50" s="550"/>
      <c r="V50" s="550"/>
      <c r="W50" s="550"/>
      <c r="X50" s="550"/>
      <c r="Y50" s="550"/>
      <c r="Z50" s="500"/>
      <c r="AA50" s="567">
        <f>O50+AA67</f>
        <v>63900</v>
      </c>
    </row>
    <row r="51" spans="1:26" ht="24.75" customHeight="1">
      <c r="A51" s="500"/>
      <c r="B51" s="521" t="s">
        <v>696</v>
      </c>
      <c r="C51" s="500"/>
      <c r="D51" s="500"/>
      <c r="E51" s="499"/>
      <c r="F51" s="500"/>
      <c r="G51" s="499"/>
      <c r="H51" s="550"/>
      <c r="I51" s="550"/>
      <c r="J51" s="550"/>
      <c r="K51" s="550">
        <f aca="true" t="shared" si="12" ref="K51:K102">L51+M51</f>
        <v>23850</v>
      </c>
      <c r="L51" s="550">
        <f aca="true" t="shared" si="13" ref="L51:L56">O51+W51</f>
        <v>23850</v>
      </c>
      <c r="M51" s="550"/>
      <c r="N51" s="550">
        <f aca="true" t="shared" si="14" ref="N51:N102">O51+P51</f>
        <v>23850</v>
      </c>
      <c r="O51" s="551">
        <f>26131-761-760-760</f>
        <v>23850</v>
      </c>
      <c r="P51" s="551"/>
      <c r="Q51" s="551"/>
      <c r="R51" s="551"/>
      <c r="S51" s="551"/>
      <c r="T51" s="551"/>
      <c r="U51" s="551"/>
      <c r="V51" s="550"/>
      <c r="W51" s="551"/>
      <c r="X51" s="551"/>
      <c r="Y51" s="551"/>
      <c r="Z51" s="499"/>
    </row>
    <row r="52" spans="1:26" ht="24.75" customHeight="1">
      <c r="A52" s="500"/>
      <c r="B52" s="521" t="s">
        <v>697</v>
      </c>
      <c r="C52" s="500"/>
      <c r="D52" s="500"/>
      <c r="E52" s="499"/>
      <c r="F52" s="500"/>
      <c r="G52" s="499"/>
      <c r="H52" s="550"/>
      <c r="I52" s="550"/>
      <c r="J52" s="550"/>
      <c r="K52" s="550">
        <f t="shared" si="12"/>
        <v>17837</v>
      </c>
      <c r="L52" s="550">
        <f t="shared" si="13"/>
        <v>17837</v>
      </c>
      <c r="M52" s="550"/>
      <c r="N52" s="550">
        <f t="shared" si="14"/>
        <v>17837</v>
      </c>
      <c r="O52" s="551">
        <f>18598-761</f>
        <v>17837</v>
      </c>
      <c r="P52" s="551"/>
      <c r="Q52" s="551"/>
      <c r="R52" s="551"/>
      <c r="S52" s="551"/>
      <c r="T52" s="551"/>
      <c r="U52" s="551"/>
      <c r="V52" s="550"/>
      <c r="W52" s="551"/>
      <c r="X52" s="551"/>
      <c r="Y52" s="551"/>
      <c r="Z52" s="499"/>
    </row>
    <row r="53" spans="1:26" ht="24.75" customHeight="1">
      <c r="A53" s="500"/>
      <c r="B53" s="521" t="s">
        <v>698</v>
      </c>
      <c r="C53" s="500"/>
      <c r="D53" s="500"/>
      <c r="E53" s="499"/>
      <c r="F53" s="500"/>
      <c r="G53" s="499"/>
      <c r="H53" s="550"/>
      <c r="I53" s="550"/>
      <c r="J53" s="550"/>
      <c r="K53" s="550">
        <f t="shared" si="12"/>
        <v>10043</v>
      </c>
      <c r="L53" s="550">
        <f t="shared" si="13"/>
        <v>10043</v>
      </c>
      <c r="M53" s="550"/>
      <c r="N53" s="550">
        <f t="shared" si="14"/>
        <v>10043</v>
      </c>
      <c r="O53" s="551">
        <f>12325-761-761-760</f>
        <v>10043</v>
      </c>
      <c r="P53" s="551"/>
      <c r="Q53" s="551"/>
      <c r="R53" s="551"/>
      <c r="S53" s="551"/>
      <c r="T53" s="551"/>
      <c r="U53" s="551"/>
      <c r="V53" s="550"/>
      <c r="W53" s="551"/>
      <c r="X53" s="551"/>
      <c r="Y53" s="551"/>
      <c r="Z53" s="499"/>
    </row>
    <row r="54" spans="1:31" ht="24.75" customHeight="1">
      <c r="A54" s="500"/>
      <c r="B54" s="521" t="s">
        <v>699</v>
      </c>
      <c r="C54" s="500"/>
      <c r="D54" s="500"/>
      <c r="E54" s="499"/>
      <c r="F54" s="500"/>
      <c r="G54" s="499"/>
      <c r="H54" s="550"/>
      <c r="I54" s="550"/>
      <c r="J54" s="550"/>
      <c r="K54" s="550">
        <f t="shared" si="12"/>
        <v>5601</v>
      </c>
      <c r="L54" s="550">
        <f t="shared" si="13"/>
        <v>5601</v>
      </c>
      <c r="M54" s="550"/>
      <c r="N54" s="550">
        <f t="shared" si="14"/>
        <v>5601</v>
      </c>
      <c r="O54" s="551">
        <f>6362-761</f>
        <v>5601</v>
      </c>
      <c r="P54" s="551"/>
      <c r="Q54" s="551"/>
      <c r="R54" s="551"/>
      <c r="S54" s="551"/>
      <c r="T54" s="551"/>
      <c r="U54" s="551"/>
      <c r="V54" s="550"/>
      <c r="W54" s="551"/>
      <c r="X54" s="551"/>
      <c r="Y54" s="551"/>
      <c r="Z54" s="499"/>
      <c r="AE54" s="567"/>
    </row>
    <row r="55" spans="1:26" ht="24.75" customHeight="1">
      <c r="A55" s="500"/>
      <c r="B55" s="521" t="s">
        <v>700</v>
      </c>
      <c r="C55" s="500"/>
      <c r="D55" s="500"/>
      <c r="E55" s="499"/>
      <c r="F55" s="500"/>
      <c r="G55" s="499"/>
      <c r="H55" s="550"/>
      <c r="I55" s="550"/>
      <c r="J55" s="550"/>
      <c r="K55" s="550">
        <f t="shared" si="12"/>
        <v>484</v>
      </c>
      <c r="L55" s="550">
        <f t="shared" si="13"/>
        <v>484</v>
      </c>
      <c r="M55" s="550"/>
      <c r="N55" s="550">
        <f t="shared" si="14"/>
        <v>484</v>
      </c>
      <c r="O55" s="551">
        <v>484</v>
      </c>
      <c r="P55" s="551"/>
      <c r="Q55" s="551"/>
      <c r="R55" s="551"/>
      <c r="S55" s="551"/>
      <c r="T55" s="551"/>
      <c r="U55" s="551"/>
      <c r="V55" s="550"/>
      <c r="W55" s="551"/>
      <c r="X55" s="551"/>
      <c r="Y55" s="551"/>
      <c r="Z55" s="499"/>
    </row>
    <row r="56" spans="1:26" ht="54.75" customHeight="1">
      <c r="A56" s="500"/>
      <c r="B56" s="504" t="s">
        <v>870</v>
      </c>
      <c r="C56" s="557" t="s">
        <v>738</v>
      </c>
      <c r="D56" s="500" t="s">
        <v>692</v>
      </c>
      <c r="E56" s="557"/>
      <c r="F56" s="500" t="s">
        <v>611</v>
      </c>
      <c r="G56" s="499"/>
      <c r="H56" s="550">
        <v>23000</v>
      </c>
      <c r="I56" s="550">
        <v>6000</v>
      </c>
      <c r="J56" s="550">
        <v>16099.999999999998</v>
      </c>
      <c r="K56" s="550">
        <f t="shared" si="12"/>
        <v>5650</v>
      </c>
      <c r="L56" s="550">
        <f t="shared" si="13"/>
        <v>5650</v>
      </c>
      <c r="M56" s="550"/>
      <c r="N56" s="550">
        <f t="shared" si="14"/>
        <v>2650</v>
      </c>
      <c r="O56" s="551">
        <v>2650</v>
      </c>
      <c r="P56" s="551"/>
      <c r="Q56" s="551"/>
      <c r="R56" s="551"/>
      <c r="S56" s="551"/>
      <c r="T56" s="551"/>
      <c r="U56" s="551"/>
      <c r="V56" s="550">
        <f>W56+X56</f>
        <v>3000</v>
      </c>
      <c r="W56" s="551">
        <v>3000</v>
      </c>
      <c r="X56" s="551"/>
      <c r="Y56" s="551"/>
      <c r="Z56" s="499"/>
    </row>
    <row r="57" spans="1:26" s="596" customFormat="1" ht="24.75" customHeight="1">
      <c r="A57" s="499" t="s">
        <v>612</v>
      </c>
      <c r="B57" s="518" t="s">
        <v>637</v>
      </c>
      <c r="C57" s="500" t="s">
        <v>704</v>
      </c>
      <c r="D57" s="500"/>
      <c r="E57" s="499"/>
      <c r="F57" s="499"/>
      <c r="G57" s="499"/>
      <c r="H57" s="499"/>
      <c r="I57" s="499"/>
      <c r="J57" s="499"/>
      <c r="K57" s="550">
        <f>SUM(K58:K62)</f>
        <v>3287</v>
      </c>
      <c r="L57" s="550"/>
      <c r="M57" s="550">
        <f>SUM(M58:M62)</f>
        <v>3287</v>
      </c>
      <c r="N57" s="550">
        <f>SUM(N58:N62)</f>
        <v>3287</v>
      </c>
      <c r="O57" s="550"/>
      <c r="P57" s="550">
        <f>SUM(P58:P62)</f>
        <v>3287</v>
      </c>
      <c r="Q57" s="550"/>
      <c r="R57" s="550"/>
      <c r="S57" s="550"/>
      <c r="T57" s="550">
        <f>P57</f>
        <v>3287</v>
      </c>
      <c r="U57" s="550"/>
      <c r="V57" s="550"/>
      <c r="W57" s="550"/>
      <c r="X57" s="550"/>
      <c r="Y57" s="550"/>
      <c r="Z57" s="499"/>
    </row>
    <row r="58" spans="1:26" s="596" customFormat="1" ht="24.75" customHeight="1">
      <c r="A58" s="499"/>
      <c r="B58" s="521" t="s">
        <v>696</v>
      </c>
      <c r="C58" s="500"/>
      <c r="D58" s="500"/>
      <c r="E58" s="499"/>
      <c r="F58" s="499"/>
      <c r="G58" s="499"/>
      <c r="H58" s="499"/>
      <c r="I58" s="499"/>
      <c r="J58" s="499"/>
      <c r="K58" s="550">
        <f t="shared" si="12"/>
        <v>1441</v>
      </c>
      <c r="L58" s="550"/>
      <c r="M58" s="550">
        <f>P58+X58</f>
        <v>1441</v>
      </c>
      <c r="N58" s="550">
        <f t="shared" si="14"/>
        <v>1441</v>
      </c>
      <c r="O58" s="551"/>
      <c r="P58" s="551">
        <v>1441</v>
      </c>
      <c r="Q58" s="551"/>
      <c r="R58" s="551"/>
      <c r="S58" s="551"/>
      <c r="T58" s="550">
        <f aca="true" t="shared" si="15" ref="T58:T65">P58</f>
        <v>1441</v>
      </c>
      <c r="U58" s="551"/>
      <c r="V58" s="550"/>
      <c r="W58" s="551"/>
      <c r="X58" s="551"/>
      <c r="Y58" s="551"/>
      <c r="Z58" s="499"/>
    </row>
    <row r="59" spans="1:26" s="596" customFormat="1" ht="24.75" customHeight="1">
      <c r="A59" s="499"/>
      <c r="B59" s="521" t="s">
        <v>697</v>
      </c>
      <c r="C59" s="500"/>
      <c r="D59" s="500"/>
      <c r="E59" s="499"/>
      <c r="F59" s="499"/>
      <c r="G59" s="499"/>
      <c r="H59" s="499"/>
      <c r="I59" s="499"/>
      <c r="J59" s="499"/>
      <c r="K59" s="550">
        <f t="shared" si="12"/>
        <v>970</v>
      </c>
      <c r="L59" s="550"/>
      <c r="M59" s="550">
        <f>P59+X59</f>
        <v>970</v>
      </c>
      <c r="N59" s="550">
        <f t="shared" si="14"/>
        <v>970</v>
      </c>
      <c r="O59" s="551"/>
      <c r="P59" s="551">
        <v>970</v>
      </c>
      <c r="Q59" s="551"/>
      <c r="R59" s="551"/>
      <c r="S59" s="551"/>
      <c r="T59" s="550">
        <f t="shared" si="15"/>
        <v>970</v>
      </c>
      <c r="U59" s="551"/>
      <c r="V59" s="550"/>
      <c r="W59" s="551"/>
      <c r="X59" s="551"/>
      <c r="Y59" s="551"/>
      <c r="Z59" s="499"/>
    </row>
    <row r="60" spans="1:26" s="596" customFormat="1" ht="24.75" customHeight="1">
      <c r="A60" s="499"/>
      <c r="B60" s="521" t="s">
        <v>698</v>
      </c>
      <c r="C60" s="500"/>
      <c r="D60" s="500"/>
      <c r="E60" s="499"/>
      <c r="F60" s="499"/>
      <c r="G60" s="499"/>
      <c r="H60" s="499"/>
      <c r="I60" s="499"/>
      <c r="J60" s="499"/>
      <c r="K60" s="550">
        <f t="shared" si="12"/>
        <v>545</v>
      </c>
      <c r="L60" s="550"/>
      <c r="M60" s="550">
        <f>P60+X60</f>
        <v>545</v>
      </c>
      <c r="N60" s="550">
        <f t="shared" si="14"/>
        <v>545</v>
      </c>
      <c r="O60" s="551"/>
      <c r="P60" s="551">
        <v>545</v>
      </c>
      <c r="Q60" s="551"/>
      <c r="R60" s="551"/>
      <c r="S60" s="551"/>
      <c r="T60" s="550">
        <f t="shared" si="15"/>
        <v>545</v>
      </c>
      <c r="U60" s="551"/>
      <c r="V60" s="550"/>
      <c r="W60" s="551"/>
      <c r="X60" s="551"/>
      <c r="Y60" s="551"/>
      <c r="Z60" s="499"/>
    </row>
    <row r="61" spans="1:26" s="596" customFormat="1" ht="24.75" customHeight="1">
      <c r="A61" s="499"/>
      <c r="B61" s="521" t="s">
        <v>699</v>
      </c>
      <c r="C61" s="500"/>
      <c r="D61" s="500"/>
      <c r="E61" s="499"/>
      <c r="F61" s="499"/>
      <c r="G61" s="499"/>
      <c r="H61" s="499"/>
      <c r="I61" s="499"/>
      <c r="J61" s="499"/>
      <c r="K61" s="550">
        <f t="shared" si="12"/>
        <v>305</v>
      </c>
      <c r="L61" s="550"/>
      <c r="M61" s="550">
        <f>P61+X61</f>
        <v>305</v>
      </c>
      <c r="N61" s="550">
        <f t="shared" si="14"/>
        <v>305</v>
      </c>
      <c r="O61" s="551"/>
      <c r="P61" s="551">
        <v>305</v>
      </c>
      <c r="Q61" s="551"/>
      <c r="R61" s="551"/>
      <c r="S61" s="551"/>
      <c r="T61" s="550">
        <f t="shared" si="15"/>
        <v>305</v>
      </c>
      <c r="U61" s="551"/>
      <c r="V61" s="550"/>
      <c r="W61" s="551"/>
      <c r="X61" s="551"/>
      <c r="Y61" s="551"/>
      <c r="Z61" s="499"/>
    </row>
    <row r="62" spans="1:26" s="596" customFormat="1" ht="24.75" customHeight="1">
      <c r="A62" s="499"/>
      <c r="B62" s="521" t="s">
        <v>700</v>
      </c>
      <c r="C62" s="500"/>
      <c r="D62" s="500"/>
      <c r="E62" s="499"/>
      <c r="F62" s="499"/>
      <c r="G62" s="499"/>
      <c r="H62" s="499"/>
      <c r="I62" s="499"/>
      <c r="J62" s="499"/>
      <c r="K62" s="550">
        <f t="shared" si="12"/>
        <v>26</v>
      </c>
      <c r="L62" s="550"/>
      <c r="M62" s="550">
        <f>P62+X62</f>
        <v>26</v>
      </c>
      <c r="N62" s="550">
        <f t="shared" si="14"/>
        <v>26</v>
      </c>
      <c r="O62" s="551"/>
      <c r="P62" s="551">
        <v>26</v>
      </c>
      <c r="Q62" s="551"/>
      <c r="R62" s="551"/>
      <c r="S62" s="551"/>
      <c r="T62" s="550">
        <f t="shared" si="15"/>
        <v>26</v>
      </c>
      <c r="U62" s="551"/>
      <c r="V62" s="550"/>
      <c r="W62" s="551"/>
      <c r="X62" s="551"/>
      <c r="Y62" s="551"/>
      <c r="Z62" s="499"/>
    </row>
    <row r="63" spans="1:26" s="596" customFormat="1" ht="24.75" customHeight="1">
      <c r="A63" s="499" t="s">
        <v>613</v>
      </c>
      <c r="B63" s="518" t="s">
        <v>624</v>
      </c>
      <c r="C63" s="500" t="s">
        <v>704</v>
      </c>
      <c r="D63" s="500"/>
      <c r="E63" s="499"/>
      <c r="F63" s="499"/>
      <c r="G63" s="499"/>
      <c r="H63" s="499"/>
      <c r="I63" s="499"/>
      <c r="J63" s="499"/>
      <c r="K63" s="550">
        <f>SUM(K64:K65)</f>
        <v>825</v>
      </c>
      <c r="L63" s="550"/>
      <c r="M63" s="550">
        <f>SUM(M64:M65)</f>
        <v>825</v>
      </c>
      <c r="N63" s="550">
        <f>SUM(N64:N65)</f>
        <v>825</v>
      </c>
      <c r="O63" s="550"/>
      <c r="P63" s="550">
        <f>SUM(P64:P65)</f>
        <v>825</v>
      </c>
      <c r="Q63" s="550"/>
      <c r="R63" s="550"/>
      <c r="S63" s="550"/>
      <c r="T63" s="550">
        <f t="shared" si="15"/>
        <v>825</v>
      </c>
      <c r="U63" s="550"/>
      <c r="V63" s="550"/>
      <c r="W63" s="550"/>
      <c r="X63" s="550"/>
      <c r="Y63" s="550"/>
      <c r="Z63" s="499"/>
    </row>
    <row r="64" spans="1:26" s="596" customFormat="1" ht="24" customHeight="1">
      <c r="A64" s="499"/>
      <c r="B64" s="518" t="s">
        <v>696</v>
      </c>
      <c r="C64" s="500"/>
      <c r="D64" s="500"/>
      <c r="E64" s="499"/>
      <c r="F64" s="499"/>
      <c r="G64" s="499"/>
      <c r="H64" s="499"/>
      <c r="I64" s="499"/>
      <c r="J64" s="499"/>
      <c r="K64" s="550">
        <f t="shared" si="12"/>
        <v>550</v>
      </c>
      <c r="L64" s="550"/>
      <c r="M64" s="550">
        <f>P64+X64</f>
        <v>550</v>
      </c>
      <c r="N64" s="550">
        <f t="shared" si="14"/>
        <v>550</v>
      </c>
      <c r="O64" s="551"/>
      <c r="P64" s="551">
        <v>550</v>
      </c>
      <c r="Q64" s="551"/>
      <c r="R64" s="551"/>
      <c r="S64" s="551"/>
      <c r="T64" s="550">
        <f>P64</f>
        <v>550</v>
      </c>
      <c r="U64" s="551"/>
      <c r="V64" s="550"/>
      <c r="W64" s="551"/>
      <c r="X64" s="551"/>
      <c r="Y64" s="551"/>
      <c r="Z64" s="499"/>
    </row>
    <row r="65" spans="1:26" s="596" customFormat="1" ht="24.75" customHeight="1">
      <c r="A65" s="499"/>
      <c r="B65" s="518" t="s">
        <v>707</v>
      </c>
      <c r="C65" s="500"/>
      <c r="D65" s="500"/>
      <c r="E65" s="499"/>
      <c r="F65" s="499"/>
      <c r="G65" s="499"/>
      <c r="H65" s="499"/>
      <c r="I65" s="499"/>
      <c r="J65" s="499"/>
      <c r="K65" s="550">
        <f t="shared" si="12"/>
        <v>275</v>
      </c>
      <c r="L65" s="550"/>
      <c r="M65" s="550">
        <f>P65+X65</f>
        <v>275</v>
      </c>
      <c r="N65" s="550">
        <f t="shared" si="14"/>
        <v>275</v>
      </c>
      <c r="O65" s="551"/>
      <c r="P65" s="551">
        <v>275</v>
      </c>
      <c r="Q65" s="551"/>
      <c r="R65" s="551"/>
      <c r="S65" s="551"/>
      <c r="T65" s="550">
        <f t="shared" si="15"/>
        <v>275</v>
      </c>
      <c r="U65" s="551"/>
      <c r="V65" s="550"/>
      <c r="W65" s="551"/>
      <c r="X65" s="551"/>
      <c r="Y65" s="551"/>
      <c r="Z65" s="499"/>
    </row>
    <row r="66" spans="1:26" ht="65.25" customHeight="1">
      <c r="A66" s="500" t="s">
        <v>614</v>
      </c>
      <c r="B66" s="518" t="s">
        <v>869</v>
      </c>
      <c r="C66" s="500" t="s">
        <v>773</v>
      </c>
      <c r="D66" s="500"/>
      <c r="E66" s="499"/>
      <c r="F66" s="500"/>
      <c r="G66" s="499"/>
      <c r="H66" s="499"/>
      <c r="I66" s="499"/>
      <c r="J66" s="499"/>
      <c r="K66" s="550">
        <f>N66+V66+Z66</f>
        <v>46071</v>
      </c>
      <c r="L66" s="550">
        <v>31071</v>
      </c>
      <c r="M66" s="550"/>
      <c r="N66" s="550">
        <v>19071</v>
      </c>
      <c r="O66" s="550">
        <v>19071</v>
      </c>
      <c r="P66" s="550"/>
      <c r="Q66" s="550"/>
      <c r="R66" s="550"/>
      <c r="S66" s="550"/>
      <c r="T66" s="550"/>
      <c r="U66" s="550"/>
      <c r="V66" s="550">
        <v>12000</v>
      </c>
      <c r="W66" s="550">
        <v>12000</v>
      </c>
      <c r="X66" s="550"/>
      <c r="Y66" s="550"/>
      <c r="Z66" s="499">
        <v>15000</v>
      </c>
    </row>
    <row r="67" spans="1:27" ht="39.75" customHeight="1">
      <c r="A67" s="500" t="s">
        <v>709</v>
      </c>
      <c r="B67" s="518" t="s">
        <v>710</v>
      </c>
      <c r="C67" s="557"/>
      <c r="D67" s="500"/>
      <c r="E67" s="557"/>
      <c r="F67" s="518"/>
      <c r="G67" s="499"/>
      <c r="H67" s="550"/>
      <c r="I67" s="550"/>
      <c r="J67" s="550"/>
      <c r="K67" s="550">
        <f>SUM(K68:K71)</f>
        <v>3805</v>
      </c>
      <c r="L67" s="550">
        <f>SUM(L68:L71)</f>
        <v>3805</v>
      </c>
      <c r="M67" s="550"/>
      <c r="N67" s="550">
        <f>SUM(N68:N71)</f>
        <v>3805</v>
      </c>
      <c r="O67" s="550">
        <f>SUM(O68:O71)</f>
        <v>3805</v>
      </c>
      <c r="P67" s="550"/>
      <c r="Q67" s="550"/>
      <c r="R67" s="550"/>
      <c r="S67" s="550"/>
      <c r="T67" s="550"/>
      <c r="U67" s="550"/>
      <c r="V67" s="550"/>
      <c r="W67" s="550"/>
      <c r="X67" s="550"/>
      <c r="Y67" s="550"/>
      <c r="Z67" s="500"/>
      <c r="AA67" s="567">
        <f>O67+O72</f>
        <v>6085</v>
      </c>
    </row>
    <row r="68" spans="1:26" ht="31.5" customHeight="1">
      <c r="A68" s="217"/>
      <c r="B68" s="521" t="s">
        <v>739</v>
      </c>
      <c r="C68" s="557" t="s">
        <v>704</v>
      </c>
      <c r="D68" s="500"/>
      <c r="E68" s="557"/>
      <c r="F68" s="518"/>
      <c r="G68" s="499"/>
      <c r="H68" s="550"/>
      <c r="I68" s="550"/>
      <c r="J68" s="550"/>
      <c r="K68" s="550">
        <f t="shared" si="12"/>
        <v>761</v>
      </c>
      <c r="L68" s="550">
        <f>O68+W68</f>
        <v>761</v>
      </c>
      <c r="M68" s="550"/>
      <c r="N68" s="550">
        <f t="shared" si="14"/>
        <v>761</v>
      </c>
      <c r="O68" s="551">
        <v>761</v>
      </c>
      <c r="P68" s="551"/>
      <c r="Q68" s="551"/>
      <c r="R68" s="551"/>
      <c r="S68" s="551"/>
      <c r="T68" s="551"/>
      <c r="U68" s="551"/>
      <c r="V68" s="550"/>
      <c r="W68" s="551"/>
      <c r="X68" s="551"/>
      <c r="Y68" s="551"/>
      <c r="Z68" s="500"/>
    </row>
    <row r="69" spans="1:26" ht="31.5" customHeight="1">
      <c r="A69" s="217"/>
      <c r="B69" s="521" t="s">
        <v>740</v>
      </c>
      <c r="C69" s="557" t="s">
        <v>704</v>
      </c>
      <c r="D69" s="500"/>
      <c r="E69" s="557"/>
      <c r="F69" s="518"/>
      <c r="G69" s="499"/>
      <c r="H69" s="550"/>
      <c r="I69" s="550"/>
      <c r="J69" s="550"/>
      <c r="K69" s="550">
        <f t="shared" si="12"/>
        <v>761</v>
      </c>
      <c r="L69" s="550">
        <f>O69+W69</f>
        <v>761</v>
      </c>
      <c r="M69" s="550"/>
      <c r="N69" s="550">
        <f t="shared" si="14"/>
        <v>761</v>
      </c>
      <c r="O69" s="551">
        <v>761</v>
      </c>
      <c r="P69" s="551"/>
      <c r="Q69" s="551"/>
      <c r="R69" s="551"/>
      <c r="S69" s="551"/>
      <c r="T69" s="551"/>
      <c r="U69" s="551"/>
      <c r="V69" s="550"/>
      <c r="W69" s="551"/>
      <c r="X69" s="551"/>
      <c r="Y69" s="551"/>
      <c r="Z69" s="500"/>
    </row>
    <row r="70" spans="1:26" ht="31.5" customHeight="1">
      <c r="A70" s="217"/>
      <c r="B70" s="521" t="s">
        <v>741</v>
      </c>
      <c r="C70" s="557" t="s">
        <v>704</v>
      </c>
      <c r="D70" s="500"/>
      <c r="E70" s="557"/>
      <c r="F70" s="518"/>
      <c r="G70" s="499"/>
      <c r="H70" s="550"/>
      <c r="I70" s="550"/>
      <c r="J70" s="550"/>
      <c r="K70" s="550">
        <f t="shared" si="12"/>
        <v>1522</v>
      </c>
      <c r="L70" s="550">
        <f>O70+W70</f>
        <v>1522</v>
      </c>
      <c r="M70" s="550"/>
      <c r="N70" s="550">
        <f t="shared" si="14"/>
        <v>1522</v>
      </c>
      <c r="O70" s="551">
        <v>1522</v>
      </c>
      <c r="P70" s="551"/>
      <c r="Q70" s="551"/>
      <c r="R70" s="551"/>
      <c r="S70" s="551"/>
      <c r="T70" s="551"/>
      <c r="U70" s="551"/>
      <c r="V70" s="550"/>
      <c r="W70" s="551"/>
      <c r="X70" s="551"/>
      <c r="Y70" s="551"/>
      <c r="Z70" s="500"/>
    </row>
    <row r="71" spans="1:26" ht="31.5" customHeight="1">
      <c r="A71" s="217"/>
      <c r="B71" s="521" t="s">
        <v>742</v>
      </c>
      <c r="C71" s="557" t="s">
        <v>704</v>
      </c>
      <c r="D71" s="500"/>
      <c r="E71" s="557"/>
      <c r="F71" s="518"/>
      <c r="G71" s="499"/>
      <c r="H71" s="550"/>
      <c r="I71" s="550"/>
      <c r="J71" s="550"/>
      <c r="K71" s="550">
        <f t="shared" si="12"/>
        <v>761</v>
      </c>
      <c r="L71" s="550">
        <f>O71+W71</f>
        <v>761</v>
      </c>
      <c r="M71" s="550"/>
      <c r="N71" s="550">
        <f t="shared" si="14"/>
        <v>761</v>
      </c>
      <c r="O71" s="551">
        <v>761</v>
      </c>
      <c r="P71" s="551"/>
      <c r="Q71" s="551"/>
      <c r="R71" s="551"/>
      <c r="S71" s="551"/>
      <c r="T71" s="551"/>
      <c r="U71" s="551"/>
      <c r="V71" s="550"/>
      <c r="W71" s="551"/>
      <c r="X71" s="551"/>
      <c r="Y71" s="551"/>
      <c r="Z71" s="500"/>
    </row>
    <row r="72" spans="1:26" ht="39.75" customHeight="1">
      <c r="A72" s="500" t="s">
        <v>711</v>
      </c>
      <c r="B72" s="518" t="s">
        <v>712</v>
      </c>
      <c r="C72" s="557"/>
      <c r="D72" s="500"/>
      <c r="E72" s="557"/>
      <c r="F72" s="518"/>
      <c r="G72" s="499"/>
      <c r="H72" s="550"/>
      <c r="I72" s="550"/>
      <c r="J72" s="550"/>
      <c r="K72" s="550">
        <f>SUM(K73:K74)</f>
        <v>2280</v>
      </c>
      <c r="L72" s="550">
        <f>SUM(L73:L74)</f>
        <v>2280</v>
      </c>
      <c r="M72" s="550"/>
      <c r="N72" s="550">
        <f>SUM(N73:N74)</f>
        <v>2280</v>
      </c>
      <c r="O72" s="550">
        <f>SUM(O73:O74)</f>
        <v>2280</v>
      </c>
      <c r="P72" s="550"/>
      <c r="Q72" s="550"/>
      <c r="R72" s="550"/>
      <c r="S72" s="550"/>
      <c r="T72" s="550"/>
      <c r="U72" s="550"/>
      <c r="V72" s="550"/>
      <c r="W72" s="550"/>
      <c r="X72" s="550"/>
      <c r="Y72" s="550"/>
      <c r="Z72" s="500"/>
    </row>
    <row r="73" spans="1:26" ht="41.25" customHeight="1">
      <c r="A73" s="217"/>
      <c r="B73" s="521" t="s">
        <v>743</v>
      </c>
      <c r="C73" s="557" t="s">
        <v>704</v>
      </c>
      <c r="D73" s="500"/>
      <c r="E73" s="557"/>
      <c r="F73" s="518"/>
      <c r="G73" s="499"/>
      <c r="H73" s="550"/>
      <c r="I73" s="550"/>
      <c r="J73" s="550"/>
      <c r="K73" s="550">
        <f t="shared" si="12"/>
        <v>1520</v>
      </c>
      <c r="L73" s="550">
        <f>O73+W73</f>
        <v>1520</v>
      </c>
      <c r="M73" s="550"/>
      <c r="N73" s="550">
        <f t="shared" si="14"/>
        <v>1520</v>
      </c>
      <c r="O73" s="551">
        <v>1520</v>
      </c>
      <c r="P73" s="551"/>
      <c r="Q73" s="551"/>
      <c r="R73" s="551"/>
      <c r="S73" s="551"/>
      <c r="T73" s="551"/>
      <c r="U73" s="551"/>
      <c r="V73" s="550"/>
      <c r="W73" s="551"/>
      <c r="X73" s="551"/>
      <c r="Y73" s="551"/>
      <c r="Z73" s="500"/>
    </row>
    <row r="74" spans="1:26" ht="49.5" customHeight="1">
      <c r="A74" s="217"/>
      <c r="B74" s="521" t="s">
        <v>744</v>
      </c>
      <c r="C74" s="557" t="s">
        <v>704</v>
      </c>
      <c r="D74" s="500"/>
      <c r="E74" s="557"/>
      <c r="F74" s="518"/>
      <c r="G74" s="499"/>
      <c r="H74" s="550"/>
      <c r="I74" s="550"/>
      <c r="J74" s="550"/>
      <c r="K74" s="550">
        <f t="shared" si="12"/>
        <v>760</v>
      </c>
      <c r="L74" s="550">
        <f>O74+W74</f>
        <v>760</v>
      </c>
      <c r="M74" s="550"/>
      <c r="N74" s="550">
        <f t="shared" si="14"/>
        <v>760</v>
      </c>
      <c r="O74" s="551">
        <v>760</v>
      </c>
      <c r="P74" s="551"/>
      <c r="Q74" s="551"/>
      <c r="R74" s="551"/>
      <c r="S74" s="551"/>
      <c r="T74" s="551"/>
      <c r="U74" s="551"/>
      <c r="V74" s="550"/>
      <c r="W74" s="551"/>
      <c r="X74" s="551"/>
      <c r="Y74" s="551"/>
      <c r="Z74" s="500"/>
    </row>
    <row r="75" spans="1:26" s="72" customFormat="1" ht="51" customHeight="1">
      <c r="A75" s="214" t="s">
        <v>19</v>
      </c>
      <c r="B75" s="517" t="s">
        <v>354</v>
      </c>
      <c r="C75" s="497"/>
      <c r="D75" s="497"/>
      <c r="E75" s="498"/>
      <c r="F75" s="497"/>
      <c r="G75" s="498"/>
      <c r="H75" s="498"/>
      <c r="I75" s="498"/>
      <c r="J75" s="498"/>
      <c r="K75" s="553">
        <f aca="true" t="shared" si="16" ref="K75:Z75">K76+K81+K88+K96</f>
        <v>69065</v>
      </c>
      <c r="L75" s="553">
        <f t="shared" si="16"/>
        <v>30715</v>
      </c>
      <c r="M75" s="553">
        <f t="shared" si="16"/>
        <v>23350</v>
      </c>
      <c r="N75" s="553">
        <f t="shared" si="16"/>
        <v>40329</v>
      </c>
      <c r="O75" s="553">
        <f t="shared" si="16"/>
        <v>16979</v>
      </c>
      <c r="P75" s="553">
        <f t="shared" si="16"/>
        <v>23350</v>
      </c>
      <c r="Q75" s="553">
        <f>Q76+Q81+Q88+Q96</f>
        <v>23350</v>
      </c>
      <c r="R75" s="553">
        <f t="shared" si="16"/>
        <v>0</v>
      </c>
      <c r="S75" s="553">
        <f t="shared" si="16"/>
        <v>0</v>
      </c>
      <c r="T75" s="553">
        <f t="shared" si="16"/>
        <v>0</v>
      </c>
      <c r="U75" s="553">
        <f t="shared" si="16"/>
        <v>0</v>
      </c>
      <c r="V75" s="553">
        <f t="shared" si="16"/>
        <v>13736</v>
      </c>
      <c r="W75" s="553">
        <f t="shared" si="16"/>
        <v>13736</v>
      </c>
      <c r="X75" s="553">
        <f t="shared" si="16"/>
        <v>0</v>
      </c>
      <c r="Y75" s="553">
        <f t="shared" si="16"/>
        <v>0</v>
      </c>
      <c r="Z75" s="553">
        <f t="shared" si="16"/>
        <v>15000</v>
      </c>
    </row>
    <row r="76" spans="1:26" ht="80.25" customHeight="1">
      <c r="A76" s="217">
        <v>1</v>
      </c>
      <c r="B76" s="518" t="s">
        <v>518</v>
      </c>
      <c r="C76" s="500"/>
      <c r="D76" s="500"/>
      <c r="E76" s="499"/>
      <c r="F76" s="500"/>
      <c r="G76" s="499"/>
      <c r="H76" s="499"/>
      <c r="I76" s="499"/>
      <c r="J76" s="499"/>
      <c r="K76" s="550">
        <f aca="true" t="shared" si="17" ref="K76:Z76">K77+K78</f>
        <v>49798</v>
      </c>
      <c r="L76" s="550">
        <f t="shared" si="17"/>
        <v>30715</v>
      </c>
      <c r="M76" s="550">
        <f t="shared" si="17"/>
        <v>4083</v>
      </c>
      <c r="N76" s="550">
        <f t="shared" si="17"/>
        <v>21062</v>
      </c>
      <c r="O76" s="550">
        <f t="shared" si="17"/>
        <v>16979</v>
      </c>
      <c r="P76" s="550">
        <f t="shared" si="17"/>
        <v>4083</v>
      </c>
      <c r="Q76" s="550">
        <f>P76</f>
        <v>4083</v>
      </c>
      <c r="R76" s="550">
        <f t="shared" si="17"/>
        <v>0</v>
      </c>
      <c r="S76" s="550">
        <f t="shared" si="17"/>
        <v>0</v>
      </c>
      <c r="T76" s="550">
        <f t="shared" si="17"/>
        <v>0</v>
      </c>
      <c r="U76" s="550"/>
      <c r="V76" s="550">
        <f t="shared" si="17"/>
        <v>13736</v>
      </c>
      <c r="W76" s="550">
        <f t="shared" si="17"/>
        <v>13736</v>
      </c>
      <c r="X76" s="550">
        <f t="shared" si="17"/>
        <v>0</v>
      </c>
      <c r="Y76" s="550">
        <f t="shared" si="17"/>
        <v>0</v>
      </c>
      <c r="Z76" s="550">
        <f t="shared" si="17"/>
        <v>15000</v>
      </c>
    </row>
    <row r="77" spans="1:26" ht="68.25" customHeight="1">
      <c r="A77" s="500" t="s">
        <v>540</v>
      </c>
      <c r="B77" s="518" t="s">
        <v>776</v>
      </c>
      <c r="C77" s="500" t="s">
        <v>745</v>
      </c>
      <c r="D77" s="500"/>
      <c r="E77" s="499"/>
      <c r="F77" s="500"/>
      <c r="G77" s="499"/>
      <c r="H77" s="569" t="e">
        <f>SUM(#REF!)</f>
        <v>#REF!</v>
      </c>
      <c r="I77" s="569" t="e">
        <f>SUM(#REF!)</f>
        <v>#REF!</v>
      </c>
      <c r="J77" s="569" t="e">
        <f>SUM(#REF!)</f>
        <v>#REF!</v>
      </c>
      <c r="K77" s="550">
        <f>30715+Z77</f>
        <v>45715</v>
      </c>
      <c r="L77" s="550">
        <v>30715</v>
      </c>
      <c r="M77" s="550"/>
      <c r="N77" s="550">
        <v>16979</v>
      </c>
      <c r="O77" s="550">
        <v>16979</v>
      </c>
      <c r="P77" s="550"/>
      <c r="Q77" s="550">
        <f aca="true" t="shared" si="18" ref="Q77:Q96">P77</f>
        <v>0</v>
      </c>
      <c r="R77" s="550"/>
      <c r="S77" s="550"/>
      <c r="T77" s="550"/>
      <c r="U77" s="550"/>
      <c r="V77" s="550">
        <v>13736</v>
      </c>
      <c r="W77" s="550">
        <v>13736</v>
      </c>
      <c r="X77" s="550"/>
      <c r="Y77" s="550"/>
      <c r="Z77" s="569">
        <v>15000</v>
      </c>
    </row>
    <row r="78" spans="1:26" ht="51.75" customHeight="1">
      <c r="A78" s="500" t="s">
        <v>612</v>
      </c>
      <c r="B78" s="518" t="s">
        <v>777</v>
      </c>
      <c r="C78" s="500"/>
      <c r="D78" s="500"/>
      <c r="E78" s="499"/>
      <c r="F78" s="500"/>
      <c r="G78" s="499"/>
      <c r="H78" s="499"/>
      <c r="I78" s="499"/>
      <c r="J78" s="499"/>
      <c r="K78" s="550">
        <f>K79+K80</f>
        <v>4083</v>
      </c>
      <c r="L78" s="550"/>
      <c r="M78" s="550">
        <f>M79+M80</f>
        <v>4083</v>
      </c>
      <c r="N78" s="550">
        <f>N79+N80</f>
        <v>4083</v>
      </c>
      <c r="O78" s="550"/>
      <c r="P78" s="550">
        <f>P79+P80</f>
        <v>4083</v>
      </c>
      <c r="Q78" s="550">
        <f t="shared" si="18"/>
        <v>4083</v>
      </c>
      <c r="R78" s="550">
        <f>R79+R80</f>
        <v>0</v>
      </c>
      <c r="S78" s="550">
        <f>S79+S80</f>
        <v>0</v>
      </c>
      <c r="T78" s="550">
        <f>T79+T80</f>
        <v>0</v>
      </c>
      <c r="U78" s="550"/>
      <c r="V78" s="550"/>
      <c r="W78" s="550"/>
      <c r="X78" s="550"/>
      <c r="Y78" s="550"/>
      <c r="Z78" s="499"/>
    </row>
    <row r="79" spans="1:26" ht="61.5" customHeight="1">
      <c r="A79" s="500"/>
      <c r="B79" s="518" t="s">
        <v>778</v>
      </c>
      <c r="C79" s="500" t="s">
        <v>588</v>
      </c>
      <c r="D79" s="500"/>
      <c r="E79" s="499"/>
      <c r="F79" s="500"/>
      <c r="G79" s="499"/>
      <c r="H79" s="499"/>
      <c r="I79" s="499"/>
      <c r="J79" s="499"/>
      <c r="K79" s="550">
        <f t="shared" si="12"/>
        <v>3016</v>
      </c>
      <c r="L79" s="550"/>
      <c r="M79" s="550">
        <f>P79+X79</f>
        <v>3016</v>
      </c>
      <c r="N79" s="550">
        <f t="shared" si="14"/>
        <v>3016</v>
      </c>
      <c r="O79" s="551"/>
      <c r="P79" s="551">
        <v>3016</v>
      </c>
      <c r="Q79" s="550">
        <f t="shared" si="18"/>
        <v>3016</v>
      </c>
      <c r="R79" s="551"/>
      <c r="S79" s="551"/>
      <c r="T79" s="551"/>
      <c r="U79" s="551"/>
      <c r="V79" s="550"/>
      <c r="W79" s="551"/>
      <c r="X79" s="643"/>
      <c r="Y79" s="643"/>
      <c r="Z79" s="499"/>
    </row>
    <row r="80" spans="1:26" ht="37.5" customHeight="1">
      <c r="A80" s="500"/>
      <c r="B80" s="518" t="s">
        <v>746</v>
      </c>
      <c r="C80" s="500" t="s">
        <v>565</v>
      </c>
      <c r="D80" s="500"/>
      <c r="E80" s="499"/>
      <c r="F80" s="500"/>
      <c r="G80" s="499"/>
      <c r="H80" s="499"/>
      <c r="I80" s="499"/>
      <c r="J80" s="499"/>
      <c r="K80" s="550">
        <f t="shared" si="12"/>
        <v>1067</v>
      </c>
      <c r="L80" s="550"/>
      <c r="M80" s="550">
        <f>P80+X80</f>
        <v>1067</v>
      </c>
      <c r="N80" s="550">
        <f t="shared" si="14"/>
        <v>1067</v>
      </c>
      <c r="O80" s="551"/>
      <c r="P80" s="551">
        <v>1067</v>
      </c>
      <c r="Q80" s="550">
        <f t="shared" si="18"/>
        <v>1067</v>
      </c>
      <c r="R80" s="551"/>
      <c r="S80" s="551"/>
      <c r="T80" s="551"/>
      <c r="U80" s="551"/>
      <c r="V80" s="550"/>
      <c r="W80" s="551"/>
      <c r="X80" s="643"/>
      <c r="Y80" s="643"/>
      <c r="Z80" s="499"/>
    </row>
    <row r="81" spans="1:28" ht="69.75" customHeight="1">
      <c r="A81" s="217">
        <v>2</v>
      </c>
      <c r="B81" s="518" t="s">
        <v>634</v>
      </c>
      <c r="C81" s="500" t="s">
        <v>701</v>
      </c>
      <c r="D81" s="500"/>
      <c r="E81" s="499"/>
      <c r="F81" s="500"/>
      <c r="G81" s="499"/>
      <c r="H81" s="499"/>
      <c r="I81" s="499"/>
      <c r="J81" s="499"/>
      <c r="K81" s="550">
        <f>SUM(K82:K87)</f>
        <v>2913</v>
      </c>
      <c r="L81" s="550"/>
      <c r="M81" s="550">
        <f>SUM(M82:M87)</f>
        <v>2913</v>
      </c>
      <c r="N81" s="550">
        <f>SUM(N82:N87)</f>
        <v>2913</v>
      </c>
      <c r="O81" s="550"/>
      <c r="P81" s="550">
        <f>SUM(P82:P87)</f>
        <v>2913</v>
      </c>
      <c r="Q81" s="550">
        <f t="shared" si="18"/>
        <v>2913</v>
      </c>
      <c r="R81" s="550"/>
      <c r="S81" s="550"/>
      <c r="T81" s="550"/>
      <c r="U81" s="551"/>
      <c r="V81" s="550"/>
      <c r="W81" s="550"/>
      <c r="X81" s="550"/>
      <c r="Y81" s="550"/>
      <c r="Z81" s="499"/>
      <c r="AA81" s="827" t="s">
        <v>732</v>
      </c>
      <c r="AB81" s="828"/>
    </row>
    <row r="82" spans="1:26" ht="41.25" customHeight="1">
      <c r="A82" s="217"/>
      <c r="B82" s="518" t="s">
        <v>779</v>
      </c>
      <c r="C82" s="500" t="s">
        <v>565</v>
      </c>
      <c r="D82" s="500"/>
      <c r="E82" s="499"/>
      <c r="F82" s="500"/>
      <c r="G82" s="499"/>
      <c r="H82" s="499"/>
      <c r="I82" s="499"/>
      <c r="J82" s="499"/>
      <c r="K82" s="550">
        <f t="shared" si="12"/>
        <v>624</v>
      </c>
      <c r="L82" s="550"/>
      <c r="M82" s="550">
        <f aca="true" t="shared" si="19" ref="M82:M87">P82+X82</f>
        <v>624</v>
      </c>
      <c r="N82" s="550">
        <f t="shared" si="14"/>
        <v>624</v>
      </c>
      <c r="O82" s="551"/>
      <c r="P82" s="551">
        <v>624</v>
      </c>
      <c r="Q82" s="550">
        <f t="shared" si="18"/>
        <v>624</v>
      </c>
      <c r="R82" s="551"/>
      <c r="S82" s="551"/>
      <c r="T82" s="551"/>
      <c r="U82" s="551"/>
      <c r="V82" s="550"/>
      <c r="W82" s="643"/>
      <c r="X82" s="643"/>
      <c r="Y82" s="643"/>
      <c r="Z82" s="499"/>
    </row>
    <row r="83" spans="1:26" ht="41.25" customHeight="1">
      <c r="A83" s="217"/>
      <c r="B83" s="518" t="s">
        <v>780</v>
      </c>
      <c r="C83" s="500" t="s">
        <v>573</v>
      </c>
      <c r="D83" s="500"/>
      <c r="E83" s="499"/>
      <c r="F83" s="500"/>
      <c r="G83" s="499"/>
      <c r="H83" s="499"/>
      <c r="I83" s="499"/>
      <c r="J83" s="499"/>
      <c r="K83" s="550">
        <f t="shared" si="12"/>
        <v>544</v>
      </c>
      <c r="L83" s="550"/>
      <c r="M83" s="550">
        <f t="shared" si="19"/>
        <v>544</v>
      </c>
      <c r="N83" s="550">
        <f t="shared" si="14"/>
        <v>544</v>
      </c>
      <c r="O83" s="551"/>
      <c r="P83" s="551">
        <v>544</v>
      </c>
      <c r="Q83" s="550">
        <f t="shared" si="18"/>
        <v>544</v>
      </c>
      <c r="R83" s="551"/>
      <c r="S83" s="551"/>
      <c r="T83" s="551"/>
      <c r="U83" s="551"/>
      <c r="V83" s="550"/>
      <c r="W83" s="643"/>
      <c r="X83" s="643"/>
      <c r="Y83" s="643"/>
      <c r="Z83" s="499"/>
    </row>
    <row r="84" spans="1:26" ht="41.25" customHeight="1">
      <c r="A84" s="217"/>
      <c r="B84" s="518" t="s">
        <v>781</v>
      </c>
      <c r="C84" s="500" t="s">
        <v>574</v>
      </c>
      <c r="D84" s="500"/>
      <c r="E84" s="499"/>
      <c r="F84" s="500"/>
      <c r="G84" s="499"/>
      <c r="H84" s="499"/>
      <c r="I84" s="499"/>
      <c r="J84" s="499"/>
      <c r="K84" s="550">
        <f t="shared" si="12"/>
        <v>304</v>
      </c>
      <c r="L84" s="550"/>
      <c r="M84" s="550">
        <f t="shared" si="19"/>
        <v>304</v>
      </c>
      <c r="N84" s="550">
        <f t="shared" si="14"/>
        <v>304</v>
      </c>
      <c r="O84" s="551"/>
      <c r="P84" s="551">
        <v>304</v>
      </c>
      <c r="Q84" s="550">
        <f t="shared" si="18"/>
        <v>304</v>
      </c>
      <c r="R84" s="551"/>
      <c r="S84" s="551"/>
      <c r="T84" s="551"/>
      <c r="U84" s="551"/>
      <c r="V84" s="550"/>
      <c r="W84" s="643"/>
      <c r="X84" s="643"/>
      <c r="Y84" s="643"/>
      <c r="Z84" s="499"/>
    </row>
    <row r="85" spans="1:26" ht="41.25" customHeight="1">
      <c r="A85" s="217"/>
      <c r="B85" s="518" t="s">
        <v>782</v>
      </c>
      <c r="C85" s="500" t="s">
        <v>577</v>
      </c>
      <c r="D85" s="500"/>
      <c r="E85" s="499"/>
      <c r="F85" s="500"/>
      <c r="G85" s="499"/>
      <c r="H85" s="499"/>
      <c r="I85" s="499"/>
      <c r="J85" s="499"/>
      <c r="K85" s="550">
        <f t="shared" si="12"/>
        <v>256</v>
      </c>
      <c r="L85" s="550"/>
      <c r="M85" s="550">
        <f t="shared" si="19"/>
        <v>256</v>
      </c>
      <c r="N85" s="550">
        <f t="shared" si="14"/>
        <v>256</v>
      </c>
      <c r="O85" s="551"/>
      <c r="P85" s="551">
        <v>256</v>
      </c>
      <c r="Q85" s="550">
        <f t="shared" si="18"/>
        <v>256</v>
      </c>
      <c r="R85" s="551"/>
      <c r="S85" s="551"/>
      <c r="T85" s="551"/>
      <c r="U85" s="551"/>
      <c r="V85" s="550"/>
      <c r="W85" s="643"/>
      <c r="X85" s="643"/>
      <c r="Y85" s="643"/>
      <c r="Z85" s="499"/>
    </row>
    <row r="86" spans="1:26" ht="41.25" customHeight="1">
      <c r="A86" s="217"/>
      <c r="B86" s="518" t="s">
        <v>783</v>
      </c>
      <c r="C86" s="500" t="s">
        <v>579</v>
      </c>
      <c r="D86" s="500"/>
      <c r="E86" s="499"/>
      <c r="F86" s="500"/>
      <c r="G86" s="499"/>
      <c r="H86" s="499"/>
      <c r="I86" s="499"/>
      <c r="J86" s="499"/>
      <c r="K86" s="550">
        <f t="shared" si="12"/>
        <v>32</v>
      </c>
      <c r="L86" s="550"/>
      <c r="M86" s="550">
        <f t="shared" si="19"/>
        <v>32</v>
      </c>
      <c r="N86" s="550">
        <f t="shared" si="14"/>
        <v>32</v>
      </c>
      <c r="O86" s="551"/>
      <c r="P86" s="551">
        <v>32</v>
      </c>
      <c r="Q86" s="550">
        <f t="shared" si="18"/>
        <v>32</v>
      </c>
      <c r="R86" s="551"/>
      <c r="S86" s="551"/>
      <c r="T86" s="551"/>
      <c r="U86" s="551"/>
      <c r="V86" s="550"/>
      <c r="W86" s="643"/>
      <c r="X86" s="643"/>
      <c r="Y86" s="643"/>
      <c r="Z86" s="499"/>
    </row>
    <row r="87" spans="1:26" ht="36.75" customHeight="1">
      <c r="A87" s="217"/>
      <c r="B87" s="518" t="s">
        <v>747</v>
      </c>
      <c r="C87" s="500" t="s">
        <v>587</v>
      </c>
      <c r="D87" s="500"/>
      <c r="E87" s="499"/>
      <c r="F87" s="500"/>
      <c r="G87" s="499"/>
      <c r="H87" s="499"/>
      <c r="I87" s="499"/>
      <c r="J87" s="499"/>
      <c r="K87" s="550">
        <f t="shared" si="12"/>
        <v>1153</v>
      </c>
      <c r="L87" s="550"/>
      <c r="M87" s="550">
        <f t="shared" si="19"/>
        <v>1153</v>
      </c>
      <c r="N87" s="550">
        <f t="shared" si="14"/>
        <v>1153</v>
      </c>
      <c r="O87" s="551"/>
      <c r="P87" s="551">
        <v>1153</v>
      </c>
      <c r="Q87" s="550">
        <f t="shared" si="18"/>
        <v>1153</v>
      </c>
      <c r="R87" s="551"/>
      <c r="S87" s="551"/>
      <c r="T87" s="551"/>
      <c r="U87" s="551"/>
      <c r="V87" s="550"/>
      <c r="W87" s="643"/>
      <c r="X87" s="643"/>
      <c r="Y87" s="643"/>
      <c r="Z87" s="499"/>
    </row>
    <row r="88" spans="1:26" ht="86.25" customHeight="1">
      <c r="A88" s="217">
        <v>3</v>
      </c>
      <c r="B88" s="518" t="s">
        <v>520</v>
      </c>
      <c r="C88" s="500" t="s">
        <v>866</v>
      </c>
      <c r="D88" s="500"/>
      <c r="E88" s="499"/>
      <c r="F88" s="500"/>
      <c r="G88" s="499"/>
      <c r="H88" s="499"/>
      <c r="I88" s="499"/>
      <c r="J88" s="499"/>
      <c r="K88" s="550">
        <f>SUM(K89:K95)</f>
        <v>14089</v>
      </c>
      <c r="L88" s="550"/>
      <c r="M88" s="550">
        <f>SUM(M89:M95)</f>
        <v>14089</v>
      </c>
      <c r="N88" s="550">
        <f>SUM(N89:N95)</f>
        <v>14089</v>
      </c>
      <c r="O88" s="550"/>
      <c r="P88" s="550">
        <f>SUM(P89:P95)</f>
        <v>14089</v>
      </c>
      <c r="Q88" s="550">
        <f t="shared" si="18"/>
        <v>14089</v>
      </c>
      <c r="R88" s="550"/>
      <c r="S88" s="550"/>
      <c r="T88" s="550"/>
      <c r="U88" s="551"/>
      <c r="V88" s="550"/>
      <c r="W88" s="550"/>
      <c r="X88" s="550"/>
      <c r="Y88" s="550"/>
      <c r="Z88" s="499"/>
    </row>
    <row r="89" spans="1:26" ht="39.75" customHeight="1">
      <c r="A89" s="217"/>
      <c r="B89" s="518" t="s">
        <v>750</v>
      </c>
      <c r="C89" s="500" t="s">
        <v>565</v>
      </c>
      <c r="D89" s="500"/>
      <c r="E89" s="499"/>
      <c r="F89" s="500"/>
      <c r="G89" s="499"/>
      <c r="H89" s="499"/>
      <c r="I89" s="499"/>
      <c r="J89" s="499"/>
      <c r="K89" s="550">
        <f t="shared" si="12"/>
        <v>629</v>
      </c>
      <c r="L89" s="550"/>
      <c r="M89" s="550">
        <f aca="true" t="shared" si="20" ref="M89:M96">P89+X89</f>
        <v>629</v>
      </c>
      <c r="N89" s="550">
        <f t="shared" si="14"/>
        <v>629</v>
      </c>
      <c r="O89" s="551"/>
      <c r="P89" s="551">
        <v>629</v>
      </c>
      <c r="Q89" s="550">
        <f t="shared" si="18"/>
        <v>629</v>
      </c>
      <c r="R89" s="551"/>
      <c r="S89" s="551"/>
      <c r="T89" s="551"/>
      <c r="U89" s="551"/>
      <c r="V89" s="550"/>
      <c r="W89" s="643"/>
      <c r="X89" s="643"/>
      <c r="Y89" s="643"/>
      <c r="Z89" s="499"/>
    </row>
    <row r="90" spans="1:26" ht="39.75" customHeight="1">
      <c r="A90" s="217"/>
      <c r="B90" s="518" t="s">
        <v>750</v>
      </c>
      <c r="C90" s="500" t="s">
        <v>573</v>
      </c>
      <c r="D90" s="500"/>
      <c r="E90" s="499"/>
      <c r="F90" s="500"/>
      <c r="G90" s="499"/>
      <c r="H90" s="499"/>
      <c r="I90" s="499"/>
      <c r="J90" s="499"/>
      <c r="K90" s="550">
        <f t="shared" si="12"/>
        <v>685</v>
      </c>
      <c r="L90" s="550"/>
      <c r="M90" s="550">
        <f t="shared" si="20"/>
        <v>685</v>
      </c>
      <c r="N90" s="550">
        <f t="shared" si="14"/>
        <v>685</v>
      </c>
      <c r="O90" s="551"/>
      <c r="P90" s="551">
        <v>685</v>
      </c>
      <c r="Q90" s="550">
        <f t="shared" si="18"/>
        <v>685</v>
      </c>
      <c r="R90" s="551"/>
      <c r="S90" s="551"/>
      <c r="T90" s="551"/>
      <c r="U90" s="551"/>
      <c r="V90" s="550"/>
      <c r="W90" s="643"/>
      <c r="X90" s="643"/>
      <c r="Y90" s="643"/>
      <c r="Z90" s="499"/>
    </row>
    <row r="91" spans="1:26" ht="39.75" customHeight="1">
      <c r="A91" s="217"/>
      <c r="B91" s="518" t="s">
        <v>750</v>
      </c>
      <c r="C91" s="500" t="s">
        <v>574</v>
      </c>
      <c r="D91" s="500"/>
      <c r="E91" s="499"/>
      <c r="F91" s="500"/>
      <c r="G91" s="499"/>
      <c r="H91" s="499"/>
      <c r="I91" s="499"/>
      <c r="J91" s="499"/>
      <c r="K91" s="550">
        <f t="shared" si="12"/>
        <v>560</v>
      </c>
      <c r="L91" s="550"/>
      <c r="M91" s="550">
        <f t="shared" si="20"/>
        <v>560</v>
      </c>
      <c r="N91" s="550">
        <f t="shared" si="14"/>
        <v>560</v>
      </c>
      <c r="O91" s="551"/>
      <c r="P91" s="551">
        <v>560</v>
      </c>
      <c r="Q91" s="550">
        <f t="shared" si="18"/>
        <v>560</v>
      </c>
      <c r="R91" s="551"/>
      <c r="S91" s="551"/>
      <c r="T91" s="551"/>
      <c r="U91" s="551"/>
      <c r="V91" s="550"/>
      <c r="W91" s="643"/>
      <c r="X91" s="643"/>
      <c r="Y91" s="643"/>
      <c r="Z91" s="499"/>
    </row>
    <row r="92" spans="1:26" ht="39.75" customHeight="1">
      <c r="A92" s="217"/>
      <c r="B92" s="518" t="s">
        <v>750</v>
      </c>
      <c r="C92" s="500" t="s">
        <v>577</v>
      </c>
      <c r="D92" s="500"/>
      <c r="E92" s="499"/>
      <c r="F92" s="500"/>
      <c r="G92" s="499"/>
      <c r="H92" s="499"/>
      <c r="I92" s="499"/>
      <c r="J92" s="499"/>
      <c r="K92" s="550">
        <f t="shared" si="12"/>
        <v>620</v>
      </c>
      <c r="L92" s="550"/>
      <c r="M92" s="550">
        <f t="shared" si="20"/>
        <v>620</v>
      </c>
      <c r="N92" s="550">
        <f t="shared" si="14"/>
        <v>620</v>
      </c>
      <c r="O92" s="551"/>
      <c r="P92" s="551">
        <v>620</v>
      </c>
      <c r="Q92" s="550">
        <f t="shared" si="18"/>
        <v>620</v>
      </c>
      <c r="R92" s="551"/>
      <c r="S92" s="551"/>
      <c r="T92" s="551"/>
      <c r="U92" s="551"/>
      <c r="V92" s="550"/>
      <c r="W92" s="643"/>
      <c r="X92" s="643"/>
      <c r="Y92" s="643"/>
      <c r="Z92" s="499"/>
    </row>
    <row r="93" spans="1:26" ht="39.75" customHeight="1">
      <c r="A93" s="217"/>
      <c r="B93" s="518" t="s">
        <v>750</v>
      </c>
      <c r="C93" s="500" t="s">
        <v>579</v>
      </c>
      <c r="D93" s="500"/>
      <c r="E93" s="499"/>
      <c r="F93" s="500"/>
      <c r="G93" s="499"/>
      <c r="H93" s="499"/>
      <c r="I93" s="499"/>
      <c r="J93" s="499"/>
      <c r="K93" s="550">
        <f t="shared" si="12"/>
        <v>515</v>
      </c>
      <c r="L93" s="550"/>
      <c r="M93" s="550">
        <f t="shared" si="20"/>
        <v>515</v>
      </c>
      <c r="N93" s="550">
        <f t="shared" si="14"/>
        <v>515</v>
      </c>
      <c r="O93" s="551"/>
      <c r="P93" s="551">
        <v>515</v>
      </c>
      <c r="Q93" s="550">
        <f t="shared" si="18"/>
        <v>515</v>
      </c>
      <c r="R93" s="551"/>
      <c r="S93" s="551"/>
      <c r="T93" s="551"/>
      <c r="U93" s="551"/>
      <c r="V93" s="550"/>
      <c r="W93" s="643"/>
      <c r="X93" s="643"/>
      <c r="Y93" s="643"/>
      <c r="Z93" s="499"/>
    </row>
    <row r="94" spans="1:26" ht="51" customHeight="1">
      <c r="A94" s="217"/>
      <c r="B94" s="518" t="s">
        <v>749</v>
      </c>
      <c r="C94" s="557" t="s">
        <v>748</v>
      </c>
      <c r="D94" s="500"/>
      <c r="E94" s="499"/>
      <c r="F94" s="500"/>
      <c r="G94" s="499"/>
      <c r="H94" s="499"/>
      <c r="I94" s="499"/>
      <c r="J94" s="499"/>
      <c r="K94" s="550">
        <f t="shared" si="12"/>
        <v>1080</v>
      </c>
      <c r="L94" s="550"/>
      <c r="M94" s="550">
        <f t="shared" si="20"/>
        <v>1080</v>
      </c>
      <c r="N94" s="550">
        <f t="shared" si="14"/>
        <v>1080</v>
      </c>
      <c r="O94" s="551"/>
      <c r="P94" s="551">
        <v>1080</v>
      </c>
      <c r="Q94" s="550">
        <f t="shared" si="18"/>
        <v>1080</v>
      </c>
      <c r="R94" s="551"/>
      <c r="S94" s="551"/>
      <c r="T94" s="551"/>
      <c r="U94" s="551"/>
      <c r="V94" s="550"/>
      <c r="W94" s="643"/>
      <c r="X94" s="643"/>
      <c r="Y94" s="643"/>
      <c r="Z94" s="499"/>
    </row>
    <row r="95" spans="1:26" ht="51.75" customHeight="1">
      <c r="A95" s="217"/>
      <c r="B95" s="518" t="s">
        <v>751</v>
      </c>
      <c r="C95" s="557" t="s">
        <v>708</v>
      </c>
      <c r="D95" s="500"/>
      <c r="E95" s="499"/>
      <c r="F95" s="500"/>
      <c r="G95" s="499"/>
      <c r="H95" s="499"/>
      <c r="I95" s="499"/>
      <c r="J95" s="499"/>
      <c r="K95" s="550">
        <f t="shared" si="12"/>
        <v>10000</v>
      </c>
      <c r="L95" s="550"/>
      <c r="M95" s="550">
        <f t="shared" si="20"/>
        <v>10000</v>
      </c>
      <c r="N95" s="550">
        <f t="shared" si="14"/>
        <v>10000</v>
      </c>
      <c r="O95" s="551"/>
      <c r="P95" s="551">
        <v>10000</v>
      </c>
      <c r="Q95" s="550">
        <f t="shared" si="18"/>
        <v>10000</v>
      </c>
      <c r="R95" s="551"/>
      <c r="S95" s="551"/>
      <c r="T95" s="551"/>
      <c r="U95" s="551"/>
      <c r="V95" s="550"/>
      <c r="W95" s="643"/>
      <c r="X95" s="643"/>
      <c r="Y95" s="643"/>
      <c r="Z95" s="499"/>
    </row>
    <row r="96" spans="1:26" ht="52.5" customHeight="1">
      <c r="A96" s="217">
        <v>4</v>
      </c>
      <c r="B96" s="518" t="s">
        <v>521</v>
      </c>
      <c r="C96" s="500" t="s">
        <v>587</v>
      </c>
      <c r="D96" s="500"/>
      <c r="E96" s="499"/>
      <c r="F96" s="500"/>
      <c r="G96" s="499"/>
      <c r="H96" s="499"/>
      <c r="I96" s="499"/>
      <c r="J96" s="499"/>
      <c r="K96" s="550">
        <f t="shared" si="12"/>
        <v>2265</v>
      </c>
      <c r="L96" s="550"/>
      <c r="M96" s="550">
        <f t="shared" si="20"/>
        <v>2265</v>
      </c>
      <c r="N96" s="550">
        <f t="shared" si="14"/>
        <v>2265</v>
      </c>
      <c r="O96" s="551"/>
      <c r="P96" s="551">
        <v>2265</v>
      </c>
      <c r="Q96" s="550">
        <f t="shared" si="18"/>
        <v>2265</v>
      </c>
      <c r="R96" s="551"/>
      <c r="S96" s="551"/>
      <c r="T96" s="551"/>
      <c r="U96" s="551"/>
      <c r="V96" s="550"/>
      <c r="W96" s="643"/>
      <c r="X96" s="643"/>
      <c r="Y96" s="643"/>
      <c r="Z96" s="499"/>
    </row>
    <row r="97" spans="1:26" s="72" customFormat="1" ht="67.5" customHeight="1">
      <c r="A97" s="214" t="s">
        <v>35</v>
      </c>
      <c r="B97" s="517" t="s">
        <v>522</v>
      </c>
      <c r="C97" s="500" t="s">
        <v>867</v>
      </c>
      <c r="D97" s="497"/>
      <c r="E97" s="498"/>
      <c r="F97" s="497"/>
      <c r="G97" s="498"/>
      <c r="H97" s="498"/>
      <c r="I97" s="498"/>
      <c r="J97" s="498"/>
      <c r="K97" s="553">
        <f aca="true" t="shared" si="21" ref="K97:U97">SUM(K98:K102)</f>
        <v>8871</v>
      </c>
      <c r="L97" s="553">
        <f t="shared" si="21"/>
        <v>6229</v>
      </c>
      <c r="M97" s="553">
        <f t="shared" si="21"/>
        <v>2642</v>
      </c>
      <c r="N97" s="553">
        <f t="shared" si="21"/>
        <v>8871</v>
      </c>
      <c r="O97" s="553">
        <f t="shared" si="21"/>
        <v>6229</v>
      </c>
      <c r="P97" s="553">
        <f t="shared" si="21"/>
        <v>2642</v>
      </c>
      <c r="Q97" s="553">
        <f t="shared" si="21"/>
        <v>0</v>
      </c>
      <c r="R97" s="553">
        <f t="shared" si="21"/>
        <v>0</v>
      </c>
      <c r="S97" s="553">
        <f t="shared" si="21"/>
        <v>2642</v>
      </c>
      <c r="T97" s="553">
        <f t="shared" si="21"/>
        <v>0</v>
      </c>
      <c r="U97" s="553">
        <f t="shared" si="21"/>
        <v>0</v>
      </c>
      <c r="V97" s="553"/>
      <c r="W97" s="553"/>
      <c r="X97" s="553"/>
      <c r="Y97" s="553"/>
      <c r="Z97" s="500"/>
    </row>
    <row r="98" spans="1:26" ht="56.25" customHeight="1">
      <c r="A98" s="217">
        <v>1</v>
      </c>
      <c r="B98" s="518" t="s">
        <v>753</v>
      </c>
      <c r="C98" s="500" t="s">
        <v>737</v>
      </c>
      <c r="D98" s="500"/>
      <c r="E98" s="499"/>
      <c r="F98" s="500"/>
      <c r="G98" s="499"/>
      <c r="H98" s="499"/>
      <c r="I98" s="499"/>
      <c r="J98" s="499"/>
      <c r="K98" s="550">
        <f t="shared" si="12"/>
        <v>963</v>
      </c>
      <c r="L98" s="550"/>
      <c r="M98" s="550">
        <f>P98+X98</f>
        <v>963</v>
      </c>
      <c r="N98" s="550">
        <f t="shared" si="14"/>
        <v>963</v>
      </c>
      <c r="O98" s="551"/>
      <c r="P98" s="551">
        <v>963</v>
      </c>
      <c r="Q98" s="551"/>
      <c r="R98" s="551"/>
      <c r="S98" s="551">
        <f>P98</f>
        <v>963</v>
      </c>
      <c r="T98" s="551"/>
      <c r="U98" s="551"/>
      <c r="V98" s="550"/>
      <c r="W98" s="643"/>
      <c r="X98" s="643"/>
      <c r="Y98" s="643"/>
      <c r="Z98" s="499"/>
    </row>
    <row r="99" spans="1:26" ht="52.5" customHeight="1">
      <c r="A99" s="217">
        <v>2</v>
      </c>
      <c r="B99" s="518" t="s">
        <v>754</v>
      </c>
      <c r="C99" s="500" t="s">
        <v>737</v>
      </c>
      <c r="D99" s="500"/>
      <c r="E99" s="499"/>
      <c r="F99" s="500"/>
      <c r="G99" s="499"/>
      <c r="H99" s="499"/>
      <c r="I99" s="499"/>
      <c r="J99" s="499"/>
      <c r="K99" s="550">
        <f t="shared" si="12"/>
        <v>418</v>
      </c>
      <c r="L99" s="550"/>
      <c r="M99" s="550">
        <f>P99+X99</f>
        <v>418</v>
      </c>
      <c r="N99" s="550">
        <f t="shared" si="14"/>
        <v>418</v>
      </c>
      <c r="O99" s="551"/>
      <c r="P99" s="551">
        <v>418</v>
      </c>
      <c r="Q99" s="551"/>
      <c r="R99" s="551"/>
      <c r="S99" s="551">
        <f>P99</f>
        <v>418</v>
      </c>
      <c r="T99" s="551"/>
      <c r="U99" s="551"/>
      <c r="V99" s="550"/>
      <c r="W99" s="643"/>
      <c r="X99" s="643"/>
      <c r="Y99" s="643"/>
      <c r="Z99" s="499"/>
    </row>
    <row r="100" spans="1:26" ht="51" customHeight="1">
      <c r="A100" s="217">
        <v>3</v>
      </c>
      <c r="B100" s="518" t="s">
        <v>755</v>
      </c>
      <c r="C100" s="500" t="s">
        <v>737</v>
      </c>
      <c r="D100" s="500"/>
      <c r="E100" s="499"/>
      <c r="F100" s="500"/>
      <c r="G100" s="499"/>
      <c r="H100" s="499"/>
      <c r="I100" s="499"/>
      <c r="J100" s="499"/>
      <c r="K100" s="550">
        <f t="shared" si="12"/>
        <v>131</v>
      </c>
      <c r="L100" s="550"/>
      <c r="M100" s="550">
        <f>P100+X100</f>
        <v>131</v>
      </c>
      <c r="N100" s="550">
        <f t="shared" si="14"/>
        <v>131</v>
      </c>
      <c r="O100" s="551"/>
      <c r="P100" s="551">
        <v>131</v>
      </c>
      <c r="Q100" s="551"/>
      <c r="R100" s="551"/>
      <c r="S100" s="551">
        <f>P100</f>
        <v>131</v>
      </c>
      <c r="T100" s="551"/>
      <c r="U100" s="551"/>
      <c r="V100" s="550"/>
      <c r="W100" s="643"/>
      <c r="X100" s="643"/>
      <c r="Y100" s="643"/>
      <c r="Z100" s="499"/>
    </row>
    <row r="101" spans="1:26" ht="90" customHeight="1">
      <c r="A101" s="217">
        <v>4</v>
      </c>
      <c r="B101" s="518" t="s">
        <v>784</v>
      </c>
      <c r="C101" s="500" t="s">
        <v>737</v>
      </c>
      <c r="D101" s="500"/>
      <c r="E101" s="499"/>
      <c r="F101" s="500"/>
      <c r="G101" s="499"/>
      <c r="H101" s="499"/>
      <c r="I101" s="499"/>
      <c r="J101" s="499"/>
      <c r="K101" s="550">
        <f t="shared" si="12"/>
        <v>6360</v>
      </c>
      <c r="L101" s="550">
        <f>O101+W101</f>
        <v>6229</v>
      </c>
      <c r="M101" s="550">
        <f>P101+X101</f>
        <v>131</v>
      </c>
      <c r="N101" s="550">
        <f t="shared" si="14"/>
        <v>6360</v>
      </c>
      <c r="O101" s="551">
        <v>6229</v>
      </c>
      <c r="P101" s="551">
        <v>131</v>
      </c>
      <c r="Q101" s="551"/>
      <c r="R101" s="551"/>
      <c r="S101" s="551">
        <f>P101</f>
        <v>131</v>
      </c>
      <c r="T101" s="551"/>
      <c r="U101" s="551"/>
      <c r="V101" s="550"/>
      <c r="W101" s="643"/>
      <c r="X101" s="643"/>
      <c r="Y101" s="643"/>
      <c r="Z101" s="499"/>
    </row>
    <row r="102" spans="1:26" ht="56.25" customHeight="1">
      <c r="A102" s="217">
        <v>5</v>
      </c>
      <c r="B102" s="518" t="s">
        <v>752</v>
      </c>
      <c r="C102" s="500" t="s">
        <v>733</v>
      </c>
      <c r="D102" s="500"/>
      <c r="E102" s="499"/>
      <c r="F102" s="500"/>
      <c r="G102" s="499"/>
      <c r="H102" s="499"/>
      <c r="I102" s="499"/>
      <c r="J102" s="499"/>
      <c r="K102" s="550">
        <f t="shared" si="12"/>
        <v>999</v>
      </c>
      <c r="L102" s="550"/>
      <c r="M102" s="550">
        <f>P102+X102</f>
        <v>999</v>
      </c>
      <c r="N102" s="550">
        <f t="shared" si="14"/>
        <v>999</v>
      </c>
      <c r="O102" s="551"/>
      <c r="P102" s="551">
        <v>999</v>
      </c>
      <c r="Q102" s="551"/>
      <c r="R102" s="551"/>
      <c r="S102" s="551">
        <f>P102</f>
        <v>999</v>
      </c>
      <c r="T102" s="551"/>
      <c r="U102" s="551"/>
      <c r="V102" s="550"/>
      <c r="W102" s="643"/>
      <c r="X102" s="643"/>
      <c r="Y102" s="643"/>
      <c r="Z102" s="499"/>
    </row>
    <row r="103" spans="1:26" s="72" customFormat="1" ht="72" customHeight="1">
      <c r="A103" s="214" t="s">
        <v>36</v>
      </c>
      <c r="B103" s="517" t="s">
        <v>523</v>
      </c>
      <c r="C103" s="500"/>
      <c r="D103" s="497"/>
      <c r="E103" s="498"/>
      <c r="F103" s="497"/>
      <c r="G103" s="498"/>
      <c r="H103" s="498"/>
      <c r="I103" s="498"/>
      <c r="J103" s="498"/>
      <c r="K103" s="553">
        <f>SUM(K104:K108)</f>
        <v>1883</v>
      </c>
      <c r="L103" s="553"/>
      <c r="M103" s="553">
        <f>SUM(M104:M108)</f>
        <v>1883</v>
      </c>
      <c r="N103" s="553">
        <f>SUM(N104:N108)</f>
        <v>1883</v>
      </c>
      <c r="O103" s="553"/>
      <c r="P103" s="553">
        <f aca="true" t="shared" si="22" ref="P103:U103">SUM(P104:P108)</f>
        <v>1883</v>
      </c>
      <c r="Q103" s="553">
        <f t="shared" si="22"/>
        <v>0</v>
      </c>
      <c r="R103" s="553">
        <f t="shared" si="22"/>
        <v>1883</v>
      </c>
      <c r="S103" s="553">
        <f t="shared" si="22"/>
        <v>0</v>
      </c>
      <c r="T103" s="553">
        <f t="shared" si="22"/>
        <v>0</v>
      </c>
      <c r="U103" s="553">
        <f t="shared" si="22"/>
        <v>0</v>
      </c>
      <c r="V103" s="553"/>
      <c r="W103" s="553"/>
      <c r="X103" s="553"/>
      <c r="Y103" s="553"/>
      <c r="Z103" s="499"/>
    </row>
    <row r="104" spans="1:26" ht="54.75" customHeight="1">
      <c r="A104" s="217"/>
      <c r="B104" s="518" t="s">
        <v>785</v>
      </c>
      <c r="C104" s="500" t="s">
        <v>565</v>
      </c>
      <c r="D104" s="500"/>
      <c r="E104" s="499"/>
      <c r="F104" s="500"/>
      <c r="G104" s="499"/>
      <c r="H104" s="499"/>
      <c r="I104" s="499"/>
      <c r="J104" s="499"/>
      <c r="K104" s="550">
        <f aca="true" t="shared" si="23" ref="K104:K146">L104+M104</f>
        <v>684</v>
      </c>
      <c r="L104" s="550"/>
      <c r="M104" s="550">
        <f>P104+X104</f>
        <v>684</v>
      </c>
      <c r="N104" s="550">
        <f aca="true" t="shared" si="24" ref="N104:N146">O104+P104</f>
        <v>684</v>
      </c>
      <c r="O104" s="551"/>
      <c r="P104" s="551">
        <v>684</v>
      </c>
      <c r="Q104" s="551"/>
      <c r="R104" s="551">
        <f>P104</f>
        <v>684</v>
      </c>
      <c r="S104" s="551"/>
      <c r="T104" s="551"/>
      <c r="U104" s="551"/>
      <c r="V104" s="550"/>
      <c r="W104" s="643"/>
      <c r="X104" s="643"/>
      <c r="Y104" s="643"/>
      <c r="Z104" s="499"/>
    </row>
    <row r="105" spans="1:26" ht="51" customHeight="1">
      <c r="A105" s="217"/>
      <c r="B105" s="518" t="s">
        <v>787</v>
      </c>
      <c r="C105" s="500" t="s">
        <v>573</v>
      </c>
      <c r="D105" s="500"/>
      <c r="E105" s="499"/>
      <c r="F105" s="500"/>
      <c r="G105" s="499"/>
      <c r="H105" s="499"/>
      <c r="I105" s="499"/>
      <c r="J105" s="499"/>
      <c r="K105" s="550">
        <f t="shared" si="23"/>
        <v>620</v>
      </c>
      <c r="L105" s="550"/>
      <c r="M105" s="550">
        <f>P105+X105</f>
        <v>620</v>
      </c>
      <c r="N105" s="550">
        <f t="shared" si="24"/>
        <v>620</v>
      </c>
      <c r="O105" s="551"/>
      <c r="P105" s="551">
        <v>620</v>
      </c>
      <c r="Q105" s="551"/>
      <c r="R105" s="551">
        <f>P105</f>
        <v>620</v>
      </c>
      <c r="S105" s="551"/>
      <c r="T105" s="551"/>
      <c r="U105" s="551"/>
      <c r="V105" s="550"/>
      <c r="W105" s="643"/>
      <c r="X105" s="643"/>
      <c r="Y105" s="643"/>
      <c r="Z105" s="499"/>
    </row>
    <row r="106" spans="1:26" ht="52.5" customHeight="1">
      <c r="A106" s="217"/>
      <c r="B106" s="518" t="s">
        <v>786</v>
      </c>
      <c r="C106" s="500" t="s">
        <v>574</v>
      </c>
      <c r="D106" s="500"/>
      <c r="E106" s="499"/>
      <c r="F106" s="500"/>
      <c r="G106" s="499"/>
      <c r="H106" s="499"/>
      <c r="I106" s="499"/>
      <c r="J106" s="499"/>
      <c r="K106" s="550">
        <f t="shared" si="23"/>
        <v>283</v>
      </c>
      <c r="L106" s="550"/>
      <c r="M106" s="550">
        <f>P106+X106</f>
        <v>283</v>
      </c>
      <c r="N106" s="550">
        <f t="shared" si="24"/>
        <v>283</v>
      </c>
      <c r="O106" s="551"/>
      <c r="P106" s="551">
        <v>283</v>
      </c>
      <c r="Q106" s="551"/>
      <c r="R106" s="551">
        <f>P106</f>
        <v>283</v>
      </c>
      <c r="S106" s="551"/>
      <c r="T106" s="551"/>
      <c r="U106" s="551"/>
      <c r="V106" s="550"/>
      <c r="W106" s="643"/>
      <c r="X106" s="643"/>
      <c r="Y106" s="643"/>
      <c r="Z106" s="499"/>
    </row>
    <row r="107" spans="1:26" ht="54.75" customHeight="1">
      <c r="A107" s="217"/>
      <c r="B107" s="518" t="s">
        <v>788</v>
      </c>
      <c r="C107" s="500" t="s">
        <v>577</v>
      </c>
      <c r="D107" s="500"/>
      <c r="E107" s="499"/>
      <c r="F107" s="500"/>
      <c r="G107" s="499"/>
      <c r="H107" s="499"/>
      <c r="I107" s="499"/>
      <c r="J107" s="499"/>
      <c r="K107" s="550">
        <f t="shared" si="23"/>
        <v>258</v>
      </c>
      <c r="L107" s="550"/>
      <c r="M107" s="550">
        <f>P107+X107</f>
        <v>258</v>
      </c>
      <c r="N107" s="550">
        <f t="shared" si="24"/>
        <v>258</v>
      </c>
      <c r="O107" s="551"/>
      <c r="P107" s="551">
        <v>258</v>
      </c>
      <c r="Q107" s="551"/>
      <c r="R107" s="551">
        <f>P107</f>
        <v>258</v>
      </c>
      <c r="S107" s="551"/>
      <c r="T107" s="551"/>
      <c r="U107" s="551"/>
      <c r="V107" s="550"/>
      <c r="W107" s="643"/>
      <c r="X107" s="643"/>
      <c r="Y107" s="643"/>
      <c r="Z107" s="499"/>
    </row>
    <row r="108" spans="1:26" ht="60" customHeight="1">
      <c r="A108" s="217"/>
      <c r="B108" s="518" t="s">
        <v>789</v>
      </c>
      <c r="C108" s="500" t="s">
        <v>579</v>
      </c>
      <c r="D108" s="500"/>
      <c r="E108" s="499"/>
      <c r="F108" s="500"/>
      <c r="G108" s="499"/>
      <c r="H108" s="499"/>
      <c r="I108" s="499"/>
      <c r="J108" s="499"/>
      <c r="K108" s="550">
        <f t="shared" si="23"/>
        <v>38</v>
      </c>
      <c r="L108" s="550"/>
      <c r="M108" s="550">
        <f>P108+X108</f>
        <v>38</v>
      </c>
      <c r="N108" s="550">
        <f t="shared" si="24"/>
        <v>38</v>
      </c>
      <c r="O108" s="551"/>
      <c r="P108" s="551">
        <v>38</v>
      </c>
      <c r="Q108" s="551"/>
      <c r="R108" s="551">
        <f>P108</f>
        <v>38</v>
      </c>
      <c r="S108" s="551"/>
      <c r="T108" s="551"/>
      <c r="U108" s="551"/>
      <c r="V108" s="550"/>
      <c r="W108" s="643"/>
      <c r="X108" s="643"/>
      <c r="Y108" s="643"/>
      <c r="Z108" s="499"/>
    </row>
    <row r="109" spans="1:26" s="72" customFormat="1" ht="57.75" customHeight="1">
      <c r="A109" s="214" t="s">
        <v>524</v>
      </c>
      <c r="B109" s="517" t="s">
        <v>525</v>
      </c>
      <c r="C109" s="500"/>
      <c r="D109" s="497"/>
      <c r="E109" s="498"/>
      <c r="F109" s="497"/>
      <c r="G109" s="498"/>
      <c r="H109" s="498"/>
      <c r="I109" s="498"/>
      <c r="J109" s="498"/>
      <c r="K109" s="553">
        <f>SUM(K110:K114)</f>
        <v>4107</v>
      </c>
      <c r="L109" s="553"/>
      <c r="M109" s="553">
        <f>SUM(M110:M114)</f>
        <v>4107</v>
      </c>
      <c r="N109" s="553">
        <f>SUM(N110:N114)</f>
        <v>4107</v>
      </c>
      <c r="O109" s="553"/>
      <c r="P109" s="553">
        <f aca="true" t="shared" si="25" ref="P109:U109">SUM(P110:P114)</f>
        <v>4107</v>
      </c>
      <c r="Q109" s="553">
        <f t="shared" si="25"/>
        <v>0</v>
      </c>
      <c r="R109" s="553">
        <f t="shared" si="25"/>
        <v>0</v>
      </c>
      <c r="S109" s="553">
        <f t="shared" si="25"/>
        <v>0</v>
      </c>
      <c r="T109" s="553">
        <f t="shared" si="25"/>
        <v>2616</v>
      </c>
      <c r="U109" s="553">
        <f t="shared" si="25"/>
        <v>1491</v>
      </c>
      <c r="V109" s="553"/>
      <c r="W109" s="553"/>
      <c r="X109" s="553"/>
      <c r="Y109" s="553"/>
      <c r="Z109" s="499"/>
    </row>
    <row r="110" spans="1:26" ht="53.25" customHeight="1">
      <c r="A110" s="217"/>
      <c r="B110" s="518" t="s">
        <v>756</v>
      </c>
      <c r="C110" s="500" t="s">
        <v>565</v>
      </c>
      <c r="D110" s="500"/>
      <c r="E110" s="499"/>
      <c r="F110" s="500"/>
      <c r="G110" s="499"/>
      <c r="H110" s="499"/>
      <c r="I110" s="499"/>
      <c r="J110" s="499"/>
      <c r="K110" s="550">
        <f t="shared" si="23"/>
        <v>1218</v>
      </c>
      <c r="L110" s="550"/>
      <c r="M110" s="550">
        <f>P110+X110</f>
        <v>1218</v>
      </c>
      <c r="N110" s="550">
        <f t="shared" si="24"/>
        <v>1218</v>
      </c>
      <c r="O110" s="551"/>
      <c r="P110" s="551">
        <v>1218</v>
      </c>
      <c r="Q110" s="551"/>
      <c r="R110" s="551"/>
      <c r="S110" s="551"/>
      <c r="T110" s="551">
        <v>1054</v>
      </c>
      <c r="U110" s="551">
        <v>164</v>
      </c>
      <c r="V110" s="550"/>
      <c r="W110" s="643"/>
      <c r="X110" s="643"/>
      <c r="Y110" s="643"/>
      <c r="Z110" s="499"/>
    </row>
    <row r="111" spans="1:26" ht="54" customHeight="1">
      <c r="A111" s="217"/>
      <c r="B111" s="518" t="s">
        <v>757</v>
      </c>
      <c r="C111" s="500" t="s">
        <v>573</v>
      </c>
      <c r="D111" s="500"/>
      <c r="E111" s="499"/>
      <c r="F111" s="500"/>
      <c r="G111" s="499"/>
      <c r="H111" s="499"/>
      <c r="I111" s="499"/>
      <c r="J111" s="499"/>
      <c r="K111" s="550">
        <f t="shared" si="23"/>
        <v>857</v>
      </c>
      <c r="L111" s="550"/>
      <c r="M111" s="550">
        <f>P111+X111</f>
        <v>857</v>
      </c>
      <c r="N111" s="550">
        <f t="shared" si="24"/>
        <v>857</v>
      </c>
      <c r="O111" s="551"/>
      <c r="P111" s="551">
        <v>857</v>
      </c>
      <c r="Q111" s="551"/>
      <c r="R111" s="551"/>
      <c r="S111" s="551"/>
      <c r="T111" s="551">
        <v>719</v>
      </c>
      <c r="U111" s="551">
        <v>138</v>
      </c>
      <c r="V111" s="550"/>
      <c r="W111" s="643"/>
      <c r="X111" s="643"/>
      <c r="Y111" s="643"/>
      <c r="Z111" s="499"/>
    </row>
    <row r="112" spans="1:26" ht="52.5" customHeight="1">
      <c r="A112" s="217"/>
      <c r="B112" s="518" t="s">
        <v>758</v>
      </c>
      <c r="C112" s="500" t="s">
        <v>574</v>
      </c>
      <c r="D112" s="500"/>
      <c r="E112" s="499"/>
      <c r="F112" s="500"/>
      <c r="G112" s="499"/>
      <c r="H112" s="499"/>
      <c r="I112" s="499"/>
      <c r="J112" s="499"/>
      <c r="K112" s="550">
        <f t="shared" si="23"/>
        <v>541</v>
      </c>
      <c r="L112" s="550"/>
      <c r="M112" s="550">
        <f>P112+X112</f>
        <v>541</v>
      </c>
      <c r="N112" s="550">
        <f t="shared" si="24"/>
        <v>541</v>
      </c>
      <c r="O112" s="551"/>
      <c r="P112" s="551">
        <v>541</v>
      </c>
      <c r="Q112" s="551"/>
      <c r="R112" s="551"/>
      <c r="S112" s="551"/>
      <c r="T112" s="551">
        <v>527</v>
      </c>
      <c r="U112" s="551">
        <v>14</v>
      </c>
      <c r="V112" s="550"/>
      <c r="W112" s="643"/>
      <c r="X112" s="643"/>
      <c r="Y112" s="643"/>
      <c r="Z112" s="499"/>
    </row>
    <row r="113" spans="1:26" ht="54.75" customHeight="1">
      <c r="A113" s="217"/>
      <c r="B113" s="518" t="s">
        <v>759</v>
      </c>
      <c r="C113" s="500" t="s">
        <v>577</v>
      </c>
      <c r="D113" s="500"/>
      <c r="E113" s="499"/>
      <c r="F113" s="500"/>
      <c r="G113" s="499"/>
      <c r="H113" s="499"/>
      <c r="I113" s="499"/>
      <c r="J113" s="499"/>
      <c r="K113" s="550">
        <f t="shared" si="23"/>
        <v>316</v>
      </c>
      <c r="L113" s="550"/>
      <c r="M113" s="550">
        <f>P113+X113</f>
        <v>316</v>
      </c>
      <c r="N113" s="550">
        <f t="shared" si="24"/>
        <v>316</v>
      </c>
      <c r="O113" s="551"/>
      <c r="P113" s="551">
        <v>316</v>
      </c>
      <c r="Q113" s="551"/>
      <c r="R113" s="551"/>
      <c r="S113" s="551"/>
      <c r="T113" s="551">
        <f>P113</f>
        <v>316</v>
      </c>
      <c r="U113" s="551"/>
      <c r="V113" s="550"/>
      <c r="W113" s="643"/>
      <c r="X113" s="643"/>
      <c r="Y113" s="643"/>
      <c r="Z113" s="499"/>
    </row>
    <row r="114" spans="1:26" ht="48.75" customHeight="1">
      <c r="A114" s="217"/>
      <c r="B114" s="518" t="s">
        <v>760</v>
      </c>
      <c r="C114" s="500" t="s">
        <v>734</v>
      </c>
      <c r="D114" s="500"/>
      <c r="E114" s="499"/>
      <c r="F114" s="500"/>
      <c r="G114" s="499"/>
      <c r="H114" s="499"/>
      <c r="I114" s="499"/>
      <c r="J114" s="499"/>
      <c r="K114" s="550">
        <f t="shared" si="23"/>
        <v>1175</v>
      </c>
      <c r="L114" s="550"/>
      <c r="M114" s="550">
        <f>P114+X114</f>
        <v>1175</v>
      </c>
      <c r="N114" s="550">
        <f t="shared" si="24"/>
        <v>1175</v>
      </c>
      <c r="O114" s="551"/>
      <c r="P114" s="551">
        <v>1175</v>
      </c>
      <c r="Q114" s="551"/>
      <c r="R114" s="551"/>
      <c r="S114" s="551"/>
      <c r="T114" s="551"/>
      <c r="U114" s="551">
        <f>P114</f>
        <v>1175</v>
      </c>
      <c r="V114" s="550"/>
      <c r="W114" s="643"/>
      <c r="X114" s="643"/>
      <c r="Y114" s="643"/>
      <c r="Z114" s="499"/>
    </row>
    <row r="115" spans="1:26" s="72" customFormat="1" ht="57" customHeight="1">
      <c r="A115" s="214" t="s">
        <v>526</v>
      </c>
      <c r="B115" s="517" t="s">
        <v>527</v>
      </c>
      <c r="C115" s="500"/>
      <c r="D115" s="497"/>
      <c r="E115" s="498"/>
      <c r="F115" s="497"/>
      <c r="G115" s="498"/>
      <c r="H115" s="498"/>
      <c r="I115" s="498"/>
      <c r="J115" s="498"/>
      <c r="K115" s="553">
        <f>K116</f>
        <v>896</v>
      </c>
      <c r="L115" s="553"/>
      <c r="M115" s="553">
        <f>M116</f>
        <v>896</v>
      </c>
      <c r="N115" s="553">
        <f>N116</f>
        <v>896</v>
      </c>
      <c r="O115" s="553"/>
      <c r="P115" s="553">
        <f aca="true" t="shared" si="26" ref="P115:U115">P116</f>
        <v>896</v>
      </c>
      <c r="Q115" s="553">
        <f t="shared" si="26"/>
        <v>0</v>
      </c>
      <c r="R115" s="553">
        <f t="shared" si="26"/>
        <v>0</v>
      </c>
      <c r="S115" s="553">
        <f t="shared" si="26"/>
        <v>0</v>
      </c>
      <c r="T115" s="553">
        <f t="shared" si="26"/>
        <v>896</v>
      </c>
      <c r="U115" s="553">
        <f t="shared" si="26"/>
        <v>0</v>
      </c>
      <c r="V115" s="553"/>
      <c r="W115" s="553"/>
      <c r="X115" s="553"/>
      <c r="Y115" s="553"/>
      <c r="Z115" s="499"/>
    </row>
    <row r="116" spans="1:26" ht="44.25" customHeight="1">
      <c r="A116" s="217">
        <v>1</v>
      </c>
      <c r="B116" s="518" t="s">
        <v>528</v>
      </c>
      <c r="C116" s="500"/>
      <c r="D116" s="500"/>
      <c r="E116" s="499"/>
      <c r="F116" s="500"/>
      <c r="G116" s="499"/>
      <c r="H116" s="499"/>
      <c r="I116" s="499"/>
      <c r="J116" s="499"/>
      <c r="K116" s="550">
        <f>SUM(K117:K122)</f>
        <v>896</v>
      </c>
      <c r="L116" s="550"/>
      <c r="M116" s="550">
        <f>SUM(M117:M122)</f>
        <v>896</v>
      </c>
      <c r="N116" s="550">
        <f>SUM(N117:N122)</f>
        <v>896</v>
      </c>
      <c r="O116" s="550"/>
      <c r="P116" s="550">
        <f>SUM(P117:P122)</f>
        <v>896</v>
      </c>
      <c r="Q116" s="550"/>
      <c r="R116" s="550"/>
      <c r="S116" s="550"/>
      <c r="T116" s="550">
        <f>P116</f>
        <v>896</v>
      </c>
      <c r="U116" s="550"/>
      <c r="V116" s="550"/>
      <c r="W116" s="550"/>
      <c r="X116" s="550"/>
      <c r="Y116" s="550"/>
      <c r="Z116" s="499"/>
    </row>
    <row r="117" spans="1:26" ht="36.75" customHeight="1">
      <c r="A117" s="217"/>
      <c r="B117" s="518" t="s">
        <v>761</v>
      </c>
      <c r="C117" s="500" t="s">
        <v>565</v>
      </c>
      <c r="D117" s="500"/>
      <c r="E117" s="499"/>
      <c r="F117" s="500"/>
      <c r="G117" s="499"/>
      <c r="H117" s="499"/>
      <c r="I117" s="499"/>
      <c r="J117" s="499"/>
      <c r="K117" s="550">
        <f t="shared" si="23"/>
        <v>100</v>
      </c>
      <c r="L117" s="550"/>
      <c r="M117" s="550">
        <f aca="true" t="shared" si="27" ref="M117:M122">P117+X117</f>
        <v>100</v>
      </c>
      <c r="N117" s="550">
        <f t="shared" si="24"/>
        <v>100</v>
      </c>
      <c r="O117" s="550"/>
      <c r="P117" s="550">
        <v>100</v>
      </c>
      <c r="Q117" s="550"/>
      <c r="R117" s="550"/>
      <c r="S117" s="550"/>
      <c r="T117" s="550">
        <f aca="true" t="shared" si="28" ref="T117:T122">P117</f>
        <v>100</v>
      </c>
      <c r="U117" s="550"/>
      <c r="V117" s="550"/>
      <c r="W117" s="643"/>
      <c r="X117" s="643"/>
      <c r="Y117" s="643"/>
      <c r="Z117" s="499"/>
    </row>
    <row r="118" spans="1:26" ht="36" customHeight="1">
      <c r="A118" s="217"/>
      <c r="B118" s="518" t="s">
        <v>761</v>
      </c>
      <c r="C118" s="500" t="s">
        <v>573</v>
      </c>
      <c r="D118" s="500"/>
      <c r="E118" s="499"/>
      <c r="F118" s="500"/>
      <c r="G118" s="499"/>
      <c r="H118" s="499"/>
      <c r="I118" s="499"/>
      <c r="J118" s="499"/>
      <c r="K118" s="550">
        <f t="shared" si="23"/>
        <v>146</v>
      </c>
      <c r="L118" s="550"/>
      <c r="M118" s="550">
        <f t="shared" si="27"/>
        <v>146</v>
      </c>
      <c r="N118" s="550">
        <f t="shared" si="24"/>
        <v>146</v>
      </c>
      <c r="O118" s="550"/>
      <c r="P118" s="550">
        <v>146</v>
      </c>
      <c r="Q118" s="550"/>
      <c r="R118" s="550"/>
      <c r="S118" s="550"/>
      <c r="T118" s="550">
        <f t="shared" si="28"/>
        <v>146</v>
      </c>
      <c r="U118" s="550"/>
      <c r="V118" s="550"/>
      <c r="W118" s="643"/>
      <c r="X118" s="643"/>
      <c r="Y118" s="643"/>
      <c r="Z118" s="499"/>
    </row>
    <row r="119" spans="1:26" ht="40.5" customHeight="1">
      <c r="A119" s="217"/>
      <c r="B119" s="518" t="s">
        <v>761</v>
      </c>
      <c r="C119" s="500" t="s">
        <v>574</v>
      </c>
      <c r="D119" s="500"/>
      <c r="E119" s="499"/>
      <c r="F119" s="500"/>
      <c r="G119" s="499"/>
      <c r="H119" s="499"/>
      <c r="I119" s="499"/>
      <c r="J119" s="499"/>
      <c r="K119" s="550">
        <f t="shared" si="23"/>
        <v>92</v>
      </c>
      <c r="L119" s="550"/>
      <c r="M119" s="550">
        <f t="shared" si="27"/>
        <v>92</v>
      </c>
      <c r="N119" s="550">
        <f t="shared" si="24"/>
        <v>92</v>
      </c>
      <c r="O119" s="550"/>
      <c r="P119" s="550">
        <v>92</v>
      </c>
      <c r="Q119" s="550"/>
      <c r="R119" s="550"/>
      <c r="S119" s="550"/>
      <c r="T119" s="550">
        <f t="shared" si="28"/>
        <v>92</v>
      </c>
      <c r="U119" s="550"/>
      <c r="V119" s="550"/>
      <c r="W119" s="643"/>
      <c r="X119" s="643"/>
      <c r="Y119" s="643"/>
      <c r="Z119" s="499"/>
    </row>
    <row r="120" spans="1:26" ht="34.5" customHeight="1">
      <c r="A120" s="217"/>
      <c r="B120" s="518" t="s">
        <v>761</v>
      </c>
      <c r="C120" s="500" t="s">
        <v>577</v>
      </c>
      <c r="D120" s="500"/>
      <c r="E120" s="499"/>
      <c r="F120" s="500"/>
      <c r="G120" s="499"/>
      <c r="H120" s="499"/>
      <c r="I120" s="499"/>
      <c r="J120" s="499"/>
      <c r="K120" s="550">
        <f t="shared" si="23"/>
        <v>59</v>
      </c>
      <c r="L120" s="550"/>
      <c r="M120" s="550">
        <f t="shared" si="27"/>
        <v>59</v>
      </c>
      <c r="N120" s="550">
        <f t="shared" si="24"/>
        <v>59</v>
      </c>
      <c r="O120" s="550"/>
      <c r="P120" s="550">
        <v>59</v>
      </c>
      <c r="Q120" s="550"/>
      <c r="R120" s="550"/>
      <c r="S120" s="550"/>
      <c r="T120" s="550">
        <f t="shared" si="28"/>
        <v>59</v>
      </c>
      <c r="U120" s="550"/>
      <c r="V120" s="550"/>
      <c r="W120" s="643"/>
      <c r="X120" s="643"/>
      <c r="Y120" s="643"/>
      <c r="Z120" s="499"/>
    </row>
    <row r="121" spans="1:26" ht="34.5" customHeight="1">
      <c r="A121" s="217"/>
      <c r="B121" s="518" t="s">
        <v>761</v>
      </c>
      <c r="C121" s="500" t="s">
        <v>579</v>
      </c>
      <c r="D121" s="500"/>
      <c r="E121" s="499"/>
      <c r="F121" s="500"/>
      <c r="G121" s="499"/>
      <c r="H121" s="499"/>
      <c r="I121" s="499"/>
      <c r="J121" s="499"/>
      <c r="K121" s="550">
        <f t="shared" si="23"/>
        <v>51</v>
      </c>
      <c r="L121" s="550"/>
      <c r="M121" s="550">
        <f t="shared" si="27"/>
        <v>51</v>
      </c>
      <c r="N121" s="550">
        <f t="shared" si="24"/>
        <v>51</v>
      </c>
      <c r="O121" s="550"/>
      <c r="P121" s="550">
        <v>51</v>
      </c>
      <c r="Q121" s="550"/>
      <c r="R121" s="550"/>
      <c r="S121" s="550"/>
      <c r="T121" s="550">
        <f t="shared" si="28"/>
        <v>51</v>
      </c>
      <c r="U121" s="550"/>
      <c r="V121" s="550"/>
      <c r="W121" s="643"/>
      <c r="X121" s="643"/>
      <c r="Y121" s="643"/>
      <c r="Z121" s="499"/>
    </row>
    <row r="122" spans="1:26" ht="39.75" customHeight="1">
      <c r="A122" s="217"/>
      <c r="B122" s="518" t="s">
        <v>761</v>
      </c>
      <c r="C122" s="500" t="s">
        <v>587</v>
      </c>
      <c r="D122" s="500"/>
      <c r="E122" s="499"/>
      <c r="F122" s="500"/>
      <c r="G122" s="499"/>
      <c r="H122" s="499"/>
      <c r="I122" s="499"/>
      <c r="J122" s="499"/>
      <c r="K122" s="550">
        <f t="shared" si="23"/>
        <v>448</v>
      </c>
      <c r="L122" s="550"/>
      <c r="M122" s="550">
        <f t="shared" si="27"/>
        <v>448</v>
      </c>
      <c r="N122" s="550">
        <f t="shared" si="24"/>
        <v>448</v>
      </c>
      <c r="O122" s="550"/>
      <c r="P122" s="550">
        <v>448</v>
      </c>
      <c r="Q122" s="550"/>
      <c r="R122" s="550"/>
      <c r="S122" s="550"/>
      <c r="T122" s="550">
        <f t="shared" si="28"/>
        <v>448</v>
      </c>
      <c r="U122" s="550"/>
      <c r="V122" s="550"/>
      <c r="W122" s="643"/>
      <c r="X122" s="643"/>
      <c r="Y122" s="643"/>
      <c r="Z122" s="499"/>
    </row>
    <row r="123" spans="1:28" s="72" customFormat="1" ht="81" customHeight="1">
      <c r="A123" s="214" t="s">
        <v>14</v>
      </c>
      <c r="B123" s="517" t="s">
        <v>552</v>
      </c>
      <c r="C123" s="497"/>
      <c r="D123" s="497"/>
      <c r="E123" s="498"/>
      <c r="F123" s="497"/>
      <c r="G123" s="498"/>
      <c r="H123" s="498"/>
      <c r="I123" s="498"/>
      <c r="J123" s="498"/>
      <c r="K123" s="553">
        <f aca="true" t="shared" si="29" ref="K123:Z123">K124+K132+K133</f>
        <v>7677</v>
      </c>
      <c r="L123" s="553">
        <f t="shared" si="29"/>
        <v>2422</v>
      </c>
      <c r="M123" s="553">
        <f t="shared" si="29"/>
        <v>5255</v>
      </c>
      <c r="N123" s="553">
        <f t="shared" si="29"/>
        <v>5177</v>
      </c>
      <c r="O123" s="553">
        <f t="shared" si="29"/>
        <v>2422</v>
      </c>
      <c r="P123" s="553">
        <f t="shared" si="29"/>
        <v>2755</v>
      </c>
      <c r="Q123" s="553">
        <f t="shared" si="29"/>
        <v>0</v>
      </c>
      <c r="R123" s="553">
        <f t="shared" si="29"/>
        <v>0</v>
      </c>
      <c r="S123" s="553">
        <f t="shared" si="29"/>
        <v>2226</v>
      </c>
      <c r="T123" s="553">
        <f t="shared" si="29"/>
        <v>529</v>
      </c>
      <c r="U123" s="553">
        <f t="shared" si="29"/>
        <v>0</v>
      </c>
      <c r="V123" s="553">
        <f>V124+V132+V133</f>
        <v>2500</v>
      </c>
      <c r="W123" s="553">
        <f t="shared" si="29"/>
        <v>0</v>
      </c>
      <c r="X123" s="553">
        <f>X124+X132+X133</f>
        <v>2500</v>
      </c>
      <c r="Y123" s="553">
        <f t="shared" si="29"/>
        <v>0</v>
      </c>
      <c r="Z123" s="553">
        <f t="shared" si="29"/>
        <v>0</v>
      </c>
      <c r="AB123" s="291"/>
    </row>
    <row r="124" spans="1:28" ht="75" customHeight="1">
      <c r="A124" s="217">
        <v>1</v>
      </c>
      <c r="B124" s="504" t="s">
        <v>529</v>
      </c>
      <c r="C124" s="500" t="s">
        <v>702</v>
      </c>
      <c r="D124" s="500"/>
      <c r="E124" s="499"/>
      <c r="F124" s="500"/>
      <c r="G124" s="499"/>
      <c r="H124" s="499"/>
      <c r="I124" s="499"/>
      <c r="J124" s="499"/>
      <c r="K124" s="550">
        <f>SUM(K125:K131)</f>
        <v>3891</v>
      </c>
      <c r="L124" s="550"/>
      <c r="M124" s="550">
        <f>SUM(M125:M131)</f>
        <v>3891</v>
      </c>
      <c r="N124" s="550">
        <f>SUM(N125:N131)</f>
        <v>1891</v>
      </c>
      <c r="O124" s="550"/>
      <c r="P124" s="550">
        <f aca="true" t="shared" si="30" ref="P124:Z124">SUM(P125:P131)</f>
        <v>1891</v>
      </c>
      <c r="Q124" s="550">
        <f t="shared" si="30"/>
        <v>0</v>
      </c>
      <c r="R124" s="550">
        <f t="shared" si="30"/>
        <v>0</v>
      </c>
      <c r="S124" s="550">
        <f t="shared" si="30"/>
        <v>1891</v>
      </c>
      <c r="T124" s="550">
        <f t="shared" si="30"/>
        <v>0</v>
      </c>
      <c r="U124" s="550">
        <f t="shared" si="30"/>
        <v>0</v>
      </c>
      <c r="V124" s="550">
        <f>W124+X124</f>
        <v>2000</v>
      </c>
      <c r="W124" s="550">
        <f t="shared" si="30"/>
        <v>0</v>
      </c>
      <c r="X124" s="550">
        <f t="shared" si="30"/>
        <v>2000</v>
      </c>
      <c r="Y124" s="550">
        <f t="shared" si="30"/>
        <v>0</v>
      </c>
      <c r="Z124" s="550">
        <f t="shared" si="30"/>
        <v>0</v>
      </c>
      <c r="AB124" s="567"/>
    </row>
    <row r="125" spans="1:28" ht="36" customHeight="1">
      <c r="A125" s="217"/>
      <c r="B125" s="518" t="s">
        <v>868</v>
      </c>
      <c r="C125" s="500" t="s">
        <v>565</v>
      </c>
      <c r="D125" s="500"/>
      <c r="E125" s="499"/>
      <c r="F125" s="500"/>
      <c r="G125" s="499"/>
      <c r="H125" s="499"/>
      <c r="I125" s="499"/>
      <c r="J125" s="499"/>
      <c r="K125" s="550">
        <f t="shared" si="23"/>
        <v>91</v>
      </c>
      <c r="L125" s="550"/>
      <c r="M125" s="550">
        <f aca="true" t="shared" si="31" ref="M125:M132">P125+X125</f>
        <v>91</v>
      </c>
      <c r="N125" s="550">
        <f t="shared" si="24"/>
        <v>91</v>
      </c>
      <c r="O125" s="550"/>
      <c r="P125" s="550">
        <v>91</v>
      </c>
      <c r="Q125" s="550"/>
      <c r="R125" s="550"/>
      <c r="S125" s="550">
        <f>P125</f>
        <v>91</v>
      </c>
      <c r="T125" s="550"/>
      <c r="U125" s="550"/>
      <c r="V125" s="550"/>
      <c r="W125" s="643"/>
      <c r="X125" s="643"/>
      <c r="Y125" s="643"/>
      <c r="Z125" s="499"/>
      <c r="AB125" s="567"/>
    </row>
    <row r="126" spans="1:28" ht="34.5" customHeight="1">
      <c r="A126" s="217"/>
      <c r="B126" s="518" t="s">
        <v>868</v>
      </c>
      <c r="C126" s="500" t="s">
        <v>573</v>
      </c>
      <c r="D126" s="500"/>
      <c r="E126" s="499"/>
      <c r="F126" s="500"/>
      <c r="G126" s="499"/>
      <c r="H126" s="499"/>
      <c r="I126" s="499"/>
      <c r="J126" s="499"/>
      <c r="K126" s="550">
        <f t="shared" si="23"/>
        <v>151</v>
      </c>
      <c r="L126" s="550"/>
      <c r="M126" s="550">
        <f t="shared" si="31"/>
        <v>151</v>
      </c>
      <c r="N126" s="550">
        <f t="shared" si="24"/>
        <v>151</v>
      </c>
      <c r="O126" s="550"/>
      <c r="P126" s="550">
        <v>151</v>
      </c>
      <c r="Q126" s="550"/>
      <c r="R126" s="550"/>
      <c r="S126" s="550">
        <f aca="true" t="shared" si="32" ref="S126:S131">P126</f>
        <v>151</v>
      </c>
      <c r="T126" s="550"/>
      <c r="U126" s="550"/>
      <c r="V126" s="550"/>
      <c r="W126" s="643"/>
      <c r="X126" s="643"/>
      <c r="Y126" s="643"/>
      <c r="Z126" s="499"/>
      <c r="AB126" s="567"/>
    </row>
    <row r="127" spans="1:28" ht="34.5" customHeight="1">
      <c r="A127" s="217"/>
      <c r="B127" s="518" t="s">
        <v>868</v>
      </c>
      <c r="C127" s="500" t="s">
        <v>574</v>
      </c>
      <c r="D127" s="500"/>
      <c r="E127" s="499"/>
      <c r="F127" s="500"/>
      <c r="G127" s="499"/>
      <c r="H127" s="499"/>
      <c r="I127" s="499"/>
      <c r="J127" s="499"/>
      <c r="K127" s="550">
        <f t="shared" si="23"/>
        <v>55</v>
      </c>
      <c r="L127" s="550"/>
      <c r="M127" s="550">
        <f t="shared" si="31"/>
        <v>55</v>
      </c>
      <c r="N127" s="550">
        <f t="shared" si="24"/>
        <v>55</v>
      </c>
      <c r="O127" s="550"/>
      <c r="P127" s="550">
        <v>55</v>
      </c>
      <c r="Q127" s="550"/>
      <c r="R127" s="550"/>
      <c r="S127" s="550">
        <f t="shared" si="32"/>
        <v>55</v>
      </c>
      <c r="T127" s="550"/>
      <c r="U127" s="550"/>
      <c r="V127" s="550"/>
      <c r="W127" s="643"/>
      <c r="X127" s="643"/>
      <c r="Y127" s="643"/>
      <c r="Z127" s="499"/>
      <c r="AB127" s="567"/>
    </row>
    <row r="128" spans="1:28" ht="34.5" customHeight="1">
      <c r="A128" s="217"/>
      <c r="B128" s="518" t="s">
        <v>868</v>
      </c>
      <c r="C128" s="500" t="s">
        <v>577</v>
      </c>
      <c r="D128" s="500"/>
      <c r="E128" s="499"/>
      <c r="F128" s="500"/>
      <c r="G128" s="499"/>
      <c r="H128" s="499"/>
      <c r="I128" s="499"/>
      <c r="J128" s="499"/>
      <c r="K128" s="550">
        <f t="shared" si="23"/>
        <v>68</v>
      </c>
      <c r="L128" s="550"/>
      <c r="M128" s="550">
        <f t="shared" si="31"/>
        <v>68</v>
      </c>
      <c r="N128" s="550">
        <f t="shared" si="24"/>
        <v>68</v>
      </c>
      <c r="O128" s="550"/>
      <c r="P128" s="550">
        <v>68</v>
      </c>
      <c r="Q128" s="550"/>
      <c r="R128" s="550"/>
      <c r="S128" s="550">
        <f t="shared" si="32"/>
        <v>68</v>
      </c>
      <c r="T128" s="550"/>
      <c r="U128" s="550"/>
      <c r="V128" s="550"/>
      <c r="W128" s="643"/>
      <c r="X128" s="643"/>
      <c r="Y128" s="643"/>
      <c r="Z128" s="499"/>
      <c r="AB128" s="567"/>
    </row>
    <row r="129" spans="1:28" ht="34.5" customHeight="1">
      <c r="A129" s="217"/>
      <c r="B129" s="518" t="s">
        <v>868</v>
      </c>
      <c r="C129" s="500" t="s">
        <v>579</v>
      </c>
      <c r="D129" s="500"/>
      <c r="E129" s="499"/>
      <c r="F129" s="500"/>
      <c r="G129" s="499"/>
      <c r="H129" s="499"/>
      <c r="I129" s="499"/>
      <c r="J129" s="499"/>
      <c r="K129" s="550">
        <f t="shared" si="23"/>
        <v>13</v>
      </c>
      <c r="L129" s="550"/>
      <c r="M129" s="550">
        <f t="shared" si="31"/>
        <v>13</v>
      </c>
      <c r="N129" s="550">
        <f t="shared" si="24"/>
        <v>13</v>
      </c>
      <c r="O129" s="550"/>
      <c r="P129" s="550">
        <v>13</v>
      </c>
      <c r="Q129" s="550"/>
      <c r="R129" s="550"/>
      <c r="S129" s="550">
        <f t="shared" si="32"/>
        <v>13</v>
      </c>
      <c r="T129" s="550"/>
      <c r="U129" s="550"/>
      <c r="V129" s="550"/>
      <c r="W129" s="643"/>
      <c r="X129" s="643"/>
      <c r="Y129" s="643"/>
      <c r="Z129" s="499"/>
      <c r="AB129" s="567"/>
    </row>
    <row r="130" spans="1:28" ht="60" customHeight="1">
      <c r="A130" s="217"/>
      <c r="B130" s="518" t="s">
        <v>855</v>
      </c>
      <c r="C130" s="500" t="s">
        <v>735</v>
      </c>
      <c r="D130" s="500"/>
      <c r="E130" s="499"/>
      <c r="F130" s="500"/>
      <c r="G130" s="499"/>
      <c r="H130" s="499"/>
      <c r="I130" s="499"/>
      <c r="J130" s="499"/>
      <c r="K130" s="550">
        <f t="shared" si="23"/>
        <v>300</v>
      </c>
      <c r="L130" s="550"/>
      <c r="M130" s="550">
        <f t="shared" si="31"/>
        <v>300</v>
      </c>
      <c r="N130" s="550">
        <f t="shared" si="24"/>
        <v>300</v>
      </c>
      <c r="O130" s="550"/>
      <c r="P130" s="550">
        <v>300</v>
      </c>
      <c r="Q130" s="550"/>
      <c r="R130" s="550"/>
      <c r="S130" s="550">
        <f t="shared" si="32"/>
        <v>300</v>
      </c>
      <c r="T130" s="550"/>
      <c r="U130" s="550"/>
      <c r="V130" s="550"/>
      <c r="W130" s="643"/>
      <c r="X130" s="643"/>
      <c r="Y130" s="643"/>
      <c r="Z130" s="499"/>
      <c r="AB130" s="567"/>
    </row>
    <row r="131" spans="1:28" ht="62.25" customHeight="1">
      <c r="A131" s="217"/>
      <c r="B131" s="518" t="s">
        <v>856</v>
      </c>
      <c r="C131" s="500" t="s">
        <v>587</v>
      </c>
      <c r="D131" s="500"/>
      <c r="E131" s="499"/>
      <c r="F131" s="500"/>
      <c r="G131" s="499"/>
      <c r="H131" s="499"/>
      <c r="I131" s="499"/>
      <c r="J131" s="499"/>
      <c r="K131" s="550">
        <f t="shared" si="23"/>
        <v>3213</v>
      </c>
      <c r="L131" s="550"/>
      <c r="M131" s="550">
        <f t="shared" si="31"/>
        <v>3213</v>
      </c>
      <c r="N131" s="550">
        <f t="shared" si="24"/>
        <v>1213</v>
      </c>
      <c r="O131" s="550"/>
      <c r="P131" s="550">
        <v>1213</v>
      </c>
      <c r="Q131" s="550"/>
      <c r="R131" s="550"/>
      <c r="S131" s="550">
        <f t="shared" si="32"/>
        <v>1213</v>
      </c>
      <c r="T131" s="550"/>
      <c r="U131" s="550"/>
      <c r="V131" s="550">
        <f>W131+X131</f>
        <v>2000</v>
      </c>
      <c r="W131" s="643"/>
      <c r="X131" s="550">
        <v>2000</v>
      </c>
      <c r="Y131" s="550"/>
      <c r="Z131" s="499"/>
      <c r="AB131" s="567"/>
    </row>
    <row r="132" spans="1:26" ht="67.5" customHeight="1">
      <c r="A132" s="217">
        <v>2</v>
      </c>
      <c r="B132" s="518" t="s">
        <v>762</v>
      </c>
      <c r="C132" s="500" t="s">
        <v>592</v>
      </c>
      <c r="D132" s="500"/>
      <c r="E132" s="499"/>
      <c r="F132" s="500"/>
      <c r="G132" s="499"/>
      <c r="H132" s="499"/>
      <c r="I132" s="499"/>
      <c r="J132" s="499"/>
      <c r="K132" s="550">
        <f t="shared" si="23"/>
        <v>2757</v>
      </c>
      <c r="L132" s="550">
        <f>O132+W132</f>
        <v>2422</v>
      </c>
      <c r="M132" s="550">
        <f t="shared" si="31"/>
        <v>335</v>
      </c>
      <c r="N132" s="550">
        <f t="shared" si="24"/>
        <v>2757</v>
      </c>
      <c r="O132" s="648">
        <v>2422</v>
      </c>
      <c r="P132" s="648">
        <v>335</v>
      </c>
      <c r="Q132" s="648"/>
      <c r="R132" s="648"/>
      <c r="S132" s="648">
        <f>P132</f>
        <v>335</v>
      </c>
      <c r="T132" s="648"/>
      <c r="U132" s="648"/>
      <c r="V132" s="550"/>
      <c r="W132" s="643"/>
      <c r="X132" s="643"/>
      <c r="Y132" s="643"/>
      <c r="Z132" s="499"/>
    </row>
    <row r="133" spans="1:26" ht="54" customHeight="1">
      <c r="A133" s="217">
        <v>3</v>
      </c>
      <c r="B133" s="521" t="s">
        <v>531</v>
      </c>
      <c r="C133" s="500" t="s">
        <v>703</v>
      </c>
      <c r="D133" s="500"/>
      <c r="E133" s="499"/>
      <c r="F133" s="500"/>
      <c r="G133" s="499"/>
      <c r="H133" s="499"/>
      <c r="I133" s="499"/>
      <c r="J133" s="499"/>
      <c r="K133" s="550">
        <f>SUM(K134:K146)</f>
        <v>1029</v>
      </c>
      <c r="L133" s="550"/>
      <c r="M133" s="550">
        <f>SUM(M134:M146)</f>
        <v>1029</v>
      </c>
      <c r="N133" s="550">
        <f>SUM(N134:N146)</f>
        <v>529</v>
      </c>
      <c r="O133" s="550"/>
      <c r="P133" s="550">
        <f>SUM(P134:P146)</f>
        <v>529</v>
      </c>
      <c r="Q133" s="550"/>
      <c r="R133" s="550"/>
      <c r="S133" s="550"/>
      <c r="T133" s="550">
        <f>P133</f>
        <v>529</v>
      </c>
      <c r="U133" s="550"/>
      <c r="V133" s="550">
        <v>500</v>
      </c>
      <c r="W133" s="550"/>
      <c r="X133" s="550">
        <v>500</v>
      </c>
      <c r="Y133" s="550"/>
      <c r="Z133" s="550"/>
    </row>
    <row r="134" spans="1:26" ht="48" customHeight="1">
      <c r="A134" s="217"/>
      <c r="B134" s="504" t="s">
        <v>763</v>
      </c>
      <c r="C134" s="500" t="s">
        <v>565</v>
      </c>
      <c r="D134" s="500"/>
      <c r="E134" s="499"/>
      <c r="F134" s="500"/>
      <c r="G134" s="499"/>
      <c r="H134" s="499"/>
      <c r="I134" s="499"/>
      <c r="J134" s="499"/>
      <c r="K134" s="550">
        <f t="shared" si="23"/>
        <v>107</v>
      </c>
      <c r="L134" s="550"/>
      <c r="M134" s="550">
        <f aca="true" t="shared" si="33" ref="M134:M146">P134+X134</f>
        <v>107</v>
      </c>
      <c r="N134" s="550">
        <f t="shared" si="24"/>
        <v>107</v>
      </c>
      <c r="O134" s="648"/>
      <c r="P134" s="648">
        <v>107</v>
      </c>
      <c r="Q134" s="648"/>
      <c r="R134" s="648"/>
      <c r="S134" s="648"/>
      <c r="T134" s="550">
        <f aca="true" t="shared" si="34" ref="T134:T146">P134</f>
        <v>107</v>
      </c>
      <c r="U134" s="648"/>
      <c r="V134" s="550"/>
      <c r="W134" s="643"/>
      <c r="X134" s="643"/>
      <c r="Y134" s="643"/>
      <c r="Z134" s="499"/>
    </row>
    <row r="135" spans="1:26" ht="48" customHeight="1">
      <c r="A135" s="217"/>
      <c r="B135" s="504" t="s">
        <v>763</v>
      </c>
      <c r="C135" s="500" t="s">
        <v>573</v>
      </c>
      <c r="D135" s="500"/>
      <c r="E135" s="499"/>
      <c r="F135" s="500"/>
      <c r="G135" s="499"/>
      <c r="H135" s="499"/>
      <c r="I135" s="499"/>
      <c r="J135" s="499"/>
      <c r="K135" s="550">
        <f t="shared" si="23"/>
        <v>71</v>
      </c>
      <c r="L135" s="550"/>
      <c r="M135" s="550">
        <f t="shared" si="33"/>
        <v>71</v>
      </c>
      <c r="N135" s="550">
        <f t="shared" si="24"/>
        <v>71</v>
      </c>
      <c r="O135" s="648"/>
      <c r="P135" s="648">
        <v>71</v>
      </c>
      <c r="Q135" s="648"/>
      <c r="R135" s="648"/>
      <c r="S135" s="648"/>
      <c r="T135" s="550">
        <f t="shared" si="34"/>
        <v>71</v>
      </c>
      <c r="U135" s="648"/>
      <c r="V135" s="550"/>
      <c r="W135" s="643"/>
      <c r="X135" s="643"/>
      <c r="Y135" s="643"/>
      <c r="Z135" s="499"/>
    </row>
    <row r="136" spans="1:26" ht="48" customHeight="1">
      <c r="A136" s="217"/>
      <c r="B136" s="504" t="s">
        <v>763</v>
      </c>
      <c r="C136" s="500" t="s">
        <v>574</v>
      </c>
      <c r="D136" s="500"/>
      <c r="E136" s="499"/>
      <c r="F136" s="500"/>
      <c r="G136" s="499"/>
      <c r="H136" s="499"/>
      <c r="I136" s="499"/>
      <c r="J136" s="499"/>
      <c r="K136" s="550">
        <f t="shared" si="23"/>
        <v>32</v>
      </c>
      <c r="L136" s="550"/>
      <c r="M136" s="550">
        <f t="shared" si="33"/>
        <v>32</v>
      </c>
      <c r="N136" s="550">
        <f t="shared" si="24"/>
        <v>32</v>
      </c>
      <c r="O136" s="648"/>
      <c r="P136" s="648">
        <v>32</v>
      </c>
      <c r="Q136" s="648"/>
      <c r="R136" s="648"/>
      <c r="S136" s="648"/>
      <c r="T136" s="550">
        <f t="shared" si="34"/>
        <v>32</v>
      </c>
      <c r="U136" s="648"/>
      <c r="V136" s="550"/>
      <c r="W136" s="643"/>
      <c r="X136" s="643"/>
      <c r="Y136" s="643"/>
      <c r="Z136" s="499"/>
    </row>
    <row r="137" spans="1:26" ht="48" customHeight="1">
      <c r="A137" s="217"/>
      <c r="B137" s="504" t="s">
        <v>763</v>
      </c>
      <c r="C137" s="500" t="s">
        <v>577</v>
      </c>
      <c r="D137" s="500"/>
      <c r="E137" s="499"/>
      <c r="F137" s="500"/>
      <c r="G137" s="499"/>
      <c r="H137" s="499"/>
      <c r="I137" s="499"/>
      <c r="J137" s="499"/>
      <c r="K137" s="550">
        <f t="shared" si="23"/>
        <v>24</v>
      </c>
      <c r="L137" s="550"/>
      <c r="M137" s="550">
        <f t="shared" si="33"/>
        <v>24</v>
      </c>
      <c r="N137" s="550">
        <f t="shared" si="24"/>
        <v>24</v>
      </c>
      <c r="O137" s="648"/>
      <c r="P137" s="648">
        <v>24</v>
      </c>
      <c r="Q137" s="648"/>
      <c r="R137" s="648"/>
      <c r="S137" s="648"/>
      <c r="T137" s="550">
        <f t="shared" si="34"/>
        <v>24</v>
      </c>
      <c r="U137" s="648"/>
      <c r="V137" s="550"/>
      <c r="W137" s="643"/>
      <c r="X137" s="643"/>
      <c r="Y137" s="643"/>
      <c r="Z137" s="499"/>
    </row>
    <row r="138" spans="1:26" ht="48" customHeight="1">
      <c r="A138" s="217"/>
      <c r="B138" s="504" t="s">
        <v>763</v>
      </c>
      <c r="C138" s="500" t="s">
        <v>579</v>
      </c>
      <c r="D138" s="500"/>
      <c r="E138" s="499"/>
      <c r="F138" s="500"/>
      <c r="G138" s="499"/>
      <c r="H138" s="499"/>
      <c r="I138" s="499"/>
      <c r="J138" s="499"/>
      <c r="K138" s="550">
        <f t="shared" si="23"/>
        <v>4</v>
      </c>
      <c r="L138" s="550"/>
      <c r="M138" s="550">
        <f t="shared" si="33"/>
        <v>4</v>
      </c>
      <c r="N138" s="550">
        <f t="shared" si="24"/>
        <v>4</v>
      </c>
      <c r="O138" s="648"/>
      <c r="P138" s="648">
        <v>4</v>
      </c>
      <c r="Q138" s="648"/>
      <c r="R138" s="648"/>
      <c r="S138" s="648"/>
      <c r="T138" s="550">
        <f t="shared" si="34"/>
        <v>4</v>
      </c>
      <c r="U138" s="648"/>
      <c r="V138" s="550"/>
      <c r="W138" s="643"/>
      <c r="X138" s="643"/>
      <c r="Y138" s="643"/>
      <c r="Z138" s="499"/>
    </row>
    <row r="139" spans="1:26" ht="48" customHeight="1">
      <c r="A139" s="217"/>
      <c r="B139" s="504" t="s">
        <v>763</v>
      </c>
      <c r="C139" s="557" t="s">
        <v>586</v>
      </c>
      <c r="D139" s="500"/>
      <c r="E139" s="499"/>
      <c r="F139" s="500"/>
      <c r="G139" s="499"/>
      <c r="H139" s="499"/>
      <c r="I139" s="499"/>
      <c r="J139" s="499"/>
      <c r="K139" s="550">
        <f t="shared" si="23"/>
        <v>30</v>
      </c>
      <c r="L139" s="550"/>
      <c r="M139" s="550">
        <f t="shared" si="33"/>
        <v>30</v>
      </c>
      <c r="N139" s="550">
        <f t="shared" si="24"/>
        <v>30</v>
      </c>
      <c r="O139" s="648"/>
      <c r="P139" s="648">
        <v>30</v>
      </c>
      <c r="Q139" s="648"/>
      <c r="R139" s="648"/>
      <c r="S139" s="648"/>
      <c r="T139" s="550">
        <f t="shared" si="34"/>
        <v>30</v>
      </c>
      <c r="U139" s="648"/>
      <c r="V139" s="550"/>
      <c r="W139" s="643"/>
      <c r="X139" s="643"/>
      <c r="Y139" s="643"/>
      <c r="Z139" s="499"/>
    </row>
    <row r="140" spans="1:26" ht="48" customHeight="1">
      <c r="A140" s="513"/>
      <c r="B140" s="504" t="s">
        <v>763</v>
      </c>
      <c r="C140" s="557" t="s">
        <v>767</v>
      </c>
      <c r="D140" s="217"/>
      <c r="E140" s="513"/>
      <c r="F140" s="217"/>
      <c r="G140" s="513"/>
      <c r="H140" s="513"/>
      <c r="I140" s="513"/>
      <c r="J140" s="513"/>
      <c r="K140" s="550">
        <f t="shared" si="23"/>
        <v>641</v>
      </c>
      <c r="L140" s="550"/>
      <c r="M140" s="550">
        <f t="shared" si="33"/>
        <v>641</v>
      </c>
      <c r="N140" s="550">
        <f t="shared" si="24"/>
        <v>141</v>
      </c>
      <c r="O140" s="513"/>
      <c r="P140" s="513">
        <v>141</v>
      </c>
      <c r="Q140" s="513"/>
      <c r="R140" s="513"/>
      <c r="S140" s="513"/>
      <c r="T140" s="550">
        <f t="shared" si="34"/>
        <v>141</v>
      </c>
      <c r="U140" s="513"/>
      <c r="V140" s="550">
        <f>W140+X140</f>
        <v>500</v>
      </c>
      <c r="W140" s="513"/>
      <c r="X140" s="513">
        <v>500</v>
      </c>
      <c r="Y140" s="513"/>
      <c r="Z140" s="513"/>
    </row>
    <row r="141" spans="1:26" ht="48" customHeight="1">
      <c r="A141" s="513"/>
      <c r="B141" s="504" t="s">
        <v>763</v>
      </c>
      <c r="C141" s="557" t="s">
        <v>588</v>
      </c>
      <c r="D141" s="217"/>
      <c r="E141" s="513"/>
      <c r="F141" s="217"/>
      <c r="G141" s="513"/>
      <c r="H141" s="513"/>
      <c r="I141" s="513"/>
      <c r="J141" s="513"/>
      <c r="K141" s="550">
        <f t="shared" si="23"/>
        <v>20</v>
      </c>
      <c r="L141" s="550"/>
      <c r="M141" s="550">
        <f t="shared" si="33"/>
        <v>20</v>
      </c>
      <c r="N141" s="550">
        <f t="shared" si="24"/>
        <v>20</v>
      </c>
      <c r="O141" s="513"/>
      <c r="P141" s="513">
        <v>20</v>
      </c>
      <c r="Q141" s="513"/>
      <c r="R141" s="513"/>
      <c r="S141" s="513"/>
      <c r="T141" s="550">
        <f t="shared" si="34"/>
        <v>20</v>
      </c>
      <c r="U141" s="513"/>
      <c r="V141" s="550"/>
      <c r="W141" s="513"/>
      <c r="X141" s="513"/>
      <c r="Y141" s="513"/>
      <c r="Z141" s="513"/>
    </row>
    <row r="142" spans="1:26" ht="48" customHeight="1">
      <c r="A142" s="513"/>
      <c r="B142" s="504" t="s">
        <v>763</v>
      </c>
      <c r="C142" s="557" t="s">
        <v>766</v>
      </c>
      <c r="D142" s="217"/>
      <c r="E142" s="513"/>
      <c r="F142" s="217"/>
      <c r="G142" s="513"/>
      <c r="H142" s="513"/>
      <c r="I142" s="513"/>
      <c r="J142" s="513"/>
      <c r="K142" s="550">
        <f t="shared" si="23"/>
        <v>20</v>
      </c>
      <c r="L142" s="550"/>
      <c r="M142" s="550">
        <f t="shared" si="33"/>
        <v>20</v>
      </c>
      <c r="N142" s="550">
        <f t="shared" si="24"/>
        <v>20</v>
      </c>
      <c r="O142" s="513"/>
      <c r="P142" s="513">
        <v>20</v>
      </c>
      <c r="Q142" s="513"/>
      <c r="R142" s="513"/>
      <c r="S142" s="513"/>
      <c r="T142" s="550">
        <f t="shared" si="34"/>
        <v>20</v>
      </c>
      <c r="U142" s="513"/>
      <c r="V142" s="550"/>
      <c r="W142" s="513"/>
      <c r="X142" s="513"/>
      <c r="Y142" s="513"/>
      <c r="Z142" s="513"/>
    </row>
    <row r="143" spans="1:26" ht="48" customHeight="1">
      <c r="A143" s="513"/>
      <c r="B143" s="504" t="s">
        <v>763</v>
      </c>
      <c r="C143" s="557" t="s">
        <v>765</v>
      </c>
      <c r="D143" s="217"/>
      <c r="E143" s="513"/>
      <c r="F143" s="217"/>
      <c r="G143" s="513"/>
      <c r="H143" s="513"/>
      <c r="I143" s="513"/>
      <c r="J143" s="513"/>
      <c r="K143" s="550">
        <f t="shared" si="23"/>
        <v>20</v>
      </c>
      <c r="L143" s="550"/>
      <c r="M143" s="550">
        <f t="shared" si="33"/>
        <v>20</v>
      </c>
      <c r="N143" s="550">
        <f t="shared" si="24"/>
        <v>20</v>
      </c>
      <c r="O143" s="513"/>
      <c r="P143" s="513">
        <v>20</v>
      </c>
      <c r="Q143" s="513"/>
      <c r="R143" s="513"/>
      <c r="S143" s="513"/>
      <c r="T143" s="550">
        <f t="shared" si="34"/>
        <v>20</v>
      </c>
      <c r="U143" s="513"/>
      <c r="V143" s="550"/>
      <c r="W143" s="513"/>
      <c r="X143" s="513"/>
      <c r="Y143" s="513"/>
      <c r="Z143" s="513"/>
    </row>
    <row r="144" spans="1:26" ht="48" customHeight="1">
      <c r="A144" s="513"/>
      <c r="B144" s="504" t="s">
        <v>763</v>
      </c>
      <c r="C144" s="557" t="s">
        <v>589</v>
      </c>
      <c r="D144" s="217"/>
      <c r="E144" s="513"/>
      <c r="F144" s="217"/>
      <c r="G144" s="513"/>
      <c r="H144" s="513"/>
      <c r="I144" s="513"/>
      <c r="J144" s="513"/>
      <c r="K144" s="550">
        <f t="shared" si="23"/>
        <v>20</v>
      </c>
      <c r="L144" s="550"/>
      <c r="M144" s="550">
        <f t="shared" si="33"/>
        <v>20</v>
      </c>
      <c r="N144" s="550">
        <f t="shared" si="24"/>
        <v>20</v>
      </c>
      <c r="O144" s="513"/>
      <c r="P144" s="513">
        <v>20</v>
      </c>
      <c r="Q144" s="513"/>
      <c r="R144" s="513"/>
      <c r="S144" s="513"/>
      <c r="T144" s="550">
        <f t="shared" si="34"/>
        <v>20</v>
      </c>
      <c r="U144" s="513"/>
      <c r="V144" s="550"/>
      <c r="W144" s="513"/>
      <c r="X144" s="513"/>
      <c r="Y144" s="513"/>
      <c r="Z144" s="513"/>
    </row>
    <row r="145" spans="1:26" ht="48" customHeight="1">
      <c r="A145" s="513"/>
      <c r="B145" s="504" t="s">
        <v>763</v>
      </c>
      <c r="C145" s="557" t="s">
        <v>764</v>
      </c>
      <c r="D145" s="217"/>
      <c r="E145" s="513"/>
      <c r="F145" s="217"/>
      <c r="G145" s="513"/>
      <c r="H145" s="513"/>
      <c r="I145" s="513"/>
      <c r="J145" s="513"/>
      <c r="K145" s="550">
        <f t="shared" si="23"/>
        <v>20</v>
      </c>
      <c r="L145" s="550"/>
      <c r="M145" s="550">
        <f t="shared" si="33"/>
        <v>20</v>
      </c>
      <c r="N145" s="550">
        <f t="shared" si="24"/>
        <v>20</v>
      </c>
      <c r="O145" s="513"/>
      <c r="P145" s="513">
        <v>20</v>
      </c>
      <c r="Q145" s="513"/>
      <c r="R145" s="513"/>
      <c r="S145" s="513"/>
      <c r="T145" s="550">
        <f t="shared" si="34"/>
        <v>20</v>
      </c>
      <c r="U145" s="513"/>
      <c r="V145" s="550"/>
      <c r="W145" s="513"/>
      <c r="X145" s="513"/>
      <c r="Y145" s="513"/>
      <c r="Z145" s="513"/>
    </row>
    <row r="146" spans="1:26" ht="48" customHeight="1">
      <c r="A146" s="513"/>
      <c r="B146" s="504" t="s">
        <v>763</v>
      </c>
      <c r="C146" s="557" t="s">
        <v>593</v>
      </c>
      <c r="D146" s="217"/>
      <c r="E146" s="513"/>
      <c r="F146" s="217"/>
      <c r="G146" s="513"/>
      <c r="H146" s="513"/>
      <c r="I146" s="513"/>
      <c r="J146" s="513"/>
      <c r="K146" s="550">
        <f t="shared" si="23"/>
        <v>20</v>
      </c>
      <c r="L146" s="550"/>
      <c r="M146" s="550">
        <f t="shared" si="33"/>
        <v>20</v>
      </c>
      <c r="N146" s="550">
        <f t="shared" si="24"/>
        <v>20</v>
      </c>
      <c r="O146" s="513"/>
      <c r="P146" s="513">
        <v>20</v>
      </c>
      <c r="Q146" s="513"/>
      <c r="R146" s="513"/>
      <c r="S146" s="513"/>
      <c r="T146" s="550">
        <f t="shared" si="34"/>
        <v>20</v>
      </c>
      <c r="U146" s="513"/>
      <c r="V146" s="550"/>
      <c r="W146" s="513"/>
      <c r="X146" s="513"/>
      <c r="Y146" s="513"/>
      <c r="Z146" s="513"/>
    </row>
  </sheetData>
  <sheetProtection/>
  <mergeCells count="34">
    <mergeCell ref="AA81:AB81"/>
    <mergeCell ref="E6:E10"/>
    <mergeCell ref="F6:F10"/>
    <mergeCell ref="G6:J7"/>
    <mergeCell ref="N7:U7"/>
    <mergeCell ref="O8:U8"/>
    <mergeCell ref="P9:U9"/>
    <mergeCell ref="Y7:Y10"/>
    <mergeCell ref="L6:Z6"/>
    <mergeCell ref="Z7:Z10"/>
    <mergeCell ref="C13:C32"/>
    <mergeCell ref="V7:X7"/>
    <mergeCell ref="N8:N10"/>
    <mergeCell ref="C6:C10"/>
    <mergeCell ref="D6:D10"/>
    <mergeCell ref="G8:G10"/>
    <mergeCell ref="H8:J8"/>
    <mergeCell ref="A6:A10"/>
    <mergeCell ref="B6:B10"/>
    <mergeCell ref="O9:O10"/>
    <mergeCell ref="I9:J9"/>
    <mergeCell ref="W9:W10"/>
    <mergeCell ref="W8:X8"/>
    <mergeCell ref="H9:H10"/>
    <mergeCell ref="K6:K10"/>
    <mergeCell ref="W1:Z1"/>
    <mergeCell ref="X9:X10"/>
    <mergeCell ref="V8:V10"/>
    <mergeCell ref="V5:Z5"/>
    <mergeCell ref="L8:M8"/>
    <mergeCell ref="L9:L10"/>
    <mergeCell ref="M9:M10"/>
    <mergeCell ref="A2:Z2"/>
    <mergeCell ref="A3:Z3"/>
  </mergeCells>
  <printOptions horizontalCentered="1"/>
  <pageMargins left="0.5118110236220472" right="0.7086614173228347" top="0.4330708661417323" bottom="0.5118110236220472" header="0.2362204724409449" footer="0.31496062992125984"/>
  <pageSetup horizontalDpi="600" verticalDpi="600" orientation="landscape" paperSize="9" scale="58" r:id="rId1"/>
  <headerFooter>
    <oddFooter>&amp;C&amp;P</oddFooter>
  </headerFooter>
</worksheet>
</file>

<file path=xl/worksheets/sheet18.xml><?xml version="1.0" encoding="utf-8"?>
<worksheet xmlns="http://schemas.openxmlformats.org/spreadsheetml/2006/main" xmlns:r="http://schemas.openxmlformats.org/officeDocument/2006/relationships">
  <dimension ref="A1:X100"/>
  <sheetViews>
    <sheetView view="pageBreakPreview" zoomScale="70" zoomScaleNormal="84" zoomScaleSheetLayoutView="70" zoomScalePageLayoutView="0" workbookViewId="0" topLeftCell="A1">
      <selection activeCell="F15" sqref="F15"/>
    </sheetView>
  </sheetViews>
  <sheetFormatPr defaultColWidth="9.00390625" defaultRowHeight="15.75"/>
  <cols>
    <col min="1" max="1" width="6.25390625" style="211" customWidth="1"/>
    <col min="2" max="2" width="37.375" style="3" customWidth="1"/>
    <col min="3" max="3" width="10.375" style="116" customWidth="1"/>
    <col min="4" max="4" width="10.00390625" style="3" customWidth="1"/>
    <col min="5" max="5" width="9.375" style="3" customWidth="1"/>
    <col min="6" max="6" width="8.875" style="3" customWidth="1"/>
    <col min="7" max="7" width="10.25390625" style="3" customWidth="1"/>
    <col min="8" max="8" width="9.875" style="3" customWidth="1"/>
    <col min="9" max="9" width="8.25390625" style="3" customWidth="1"/>
    <col min="10" max="10" width="9.625" style="3" customWidth="1"/>
    <col min="11" max="11" width="9.75390625" style="3" customWidth="1"/>
    <col min="12" max="12" width="8.125" style="3" customWidth="1"/>
    <col min="13" max="13" width="8.25390625" style="3" customWidth="1"/>
    <col min="14" max="14" width="10.50390625" style="3" customWidth="1"/>
    <col min="15" max="15" width="9.25390625" style="3" customWidth="1"/>
    <col min="16" max="16" width="8.875" style="3" customWidth="1"/>
    <col min="17" max="18" width="8.25390625" style="3" customWidth="1"/>
    <col min="19" max="19" width="8.375" style="3" customWidth="1"/>
    <col min="20" max="16384" width="9.00390625" style="3" customWidth="1"/>
  </cols>
  <sheetData>
    <row r="1" spans="1:19" ht="68.25" customHeight="1">
      <c r="A1" s="836" t="s">
        <v>677</v>
      </c>
      <c r="B1" s="836"/>
      <c r="C1" s="836"/>
      <c r="D1" s="836"/>
      <c r="E1" s="836"/>
      <c r="F1" s="836"/>
      <c r="G1" s="836"/>
      <c r="H1" s="836"/>
      <c r="I1" s="836"/>
      <c r="J1" s="836"/>
      <c r="K1" s="836"/>
      <c r="L1" s="836"/>
      <c r="M1" s="836"/>
      <c r="N1" s="836"/>
      <c r="O1" s="836"/>
      <c r="P1" s="836"/>
      <c r="Q1" s="836"/>
      <c r="R1" s="836"/>
      <c r="S1" s="836"/>
    </row>
    <row r="2" spans="1:19" ht="15">
      <c r="A2" s="562"/>
      <c r="B2" s="563"/>
      <c r="C2" s="564"/>
      <c r="D2" s="563"/>
      <c r="E2" s="563"/>
      <c r="F2" s="563"/>
      <c r="G2" s="563"/>
      <c r="H2" s="563"/>
      <c r="I2" s="563"/>
      <c r="J2" s="563"/>
      <c r="K2" s="563"/>
      <c r="L2" s="563"/>
      <c r="M2" s="563"/>
      <c r="N2" s="563"/>
      <c r="O2" s="563"/>
      <c r="P2" s="563"/>
      <c r="Q2" s="563"/>
      <c r="R2" s="563"/>
      <c r="S2" s="563"/>
    </row>
    <row r="3" spans="1:19" ht="15">
      <c r="A3" s="562"/>
      <c r="B3" s="563"/>
      <c r="C3" s="564"/>
      <c r="D3" s="563"/>
      <c r="E3" s="563"/>
      <c r="F3" s="563"/>
      <c r="G3" s="563"/>
      <c r="H3" s="563"/>
      <c r="I3" s="563"/>
      <c r="J3" s="563"/>
      <c r="K3" s="563"/>
      <c r="L3" s="563"/>
      <c r="M3" s="563"/>
      <c r="N3" s="563"/>
      <c r="O3" s="563"/>
      <c r="P3" s="843" t="s">
        <v>532</v>
      </c>
      <c r="Q3" s="843"/>
      <c r="R3" s="843"/>
      <c r="S3" s="843"/>
    </row>
    <row r="4" spans="1:22" ht="31.5" customHeight="1">
      <c r="A4" s="837" t="s">
        <v>549</v>
      </c>
      <c r="B4" s="837" t="s">
        <v>533</v>
      </c>
      <c r="C4" s="841" t="s">
        <v>130</v>
      </c>
      <c r="D4" s="838" t="s">
        <v>534</v>
      </c>
      <c r="E4" s="839"/>
      <c r="F4" s="839"/>
      <c r="G4" s="839"/>
      <c r="H4" s="839"/>
      <c r="I4" s="839"/>
      <c r="J4" s="839"/>
      <c r="K4" s="839"/>
      <c r="L4" s="839"/>
      <c r="M4" s="839"/>
      <c r="N4" s="839"/>
      <c r="O4" s="839"/>
      <c r="P4" s="839"/>
      <c r="Q4" s="839"/>
      <c r="R4" s="839"/>
      <c r="S4" s="840"/>
      <c r="T4" s="150"/>
      <c r="U4" s="150"/>
      <c r="V4" s="150"/>
    </row>
    <row r="5" spans="1:22" ht="146.25" customHeight="1">
      <c r="A5" s="837"/>
      <c r="B5" s="837"/>
      <c r="C5" s="842"/>
      <c r="D5" s="594" t="s">
        <v>586</v>
      </c>
      <c r="E5" s="450" t="s">
        <v>587</v>
      </c>
      <c r="F5" s="450" t="s">
        <v>588</v>
      </c>
      <c r="G5" s="450" t="s">
        <v>600</v>
      </c>
      <c r="H5" s="450" t="s">
        <v>590</v>
      </c>
      <c r="I5" s="450" t="s">
        <v>591</v>
      </c>
      <c r="J5" s="450" t="s">
        <v>592</v>
      </c>
      <c r="K5" s="450" t="s">
        <v>589</v>
      </c>
      <c r="L5" s="450" t="s">
        <v>625</v>
      </c>
      <c r="M5" s="450" t="s">
        <v>593</v>
      </c>
      <c r="N5" s="450" t="s">
        <v>535</v>
      </c>
      <c r="O5" s="450" t="s">
        <v>561</v>
      </c>
      <c r="P5" s="450" t="s">
        <v>595</v>
      </c>
      <c r="Q5" s="450" t="s">
        <v>289</v>
      </c>
      <c r="R5" s="450" t="s">
        <v>290</v>
      </c>
      <c r="S5" s="450" t="s">
        <v>295</v>
      </c>
      <c r="T5" s="150"/>
      <c r="U5" s="150"/>
      <c r="V5" s="150"/>
    </row>
    <row r="6" spans="1:22" ht="38.25" customHeight="1">
      <c r="A6" s="450"/>
      <c r="B6" s="450" t="s">
        <v>626</v>
      </c>
      <c r="C6" s="580">
        <f aca="true" t="shared" si="0" ref="C6:S6">C14+C20+C23+C31+C44+C62+C66+C69+C72+C76</f>
        <v>252641</v>
      </c>
      <c r="D6" s="580">
        <f t="shared" si="0"/>
        <v>10819</v>
      </c>
      <c r="E6" s="580">
        <f t="shared" si="0"/>
        <v>7884</v>
      </c>
      <c r="F6" s="580">
        <f t="shared" si="0"/>
        <v>3036</v>
      </c>
      <c r="G6" s="580">
        <f t="shared" si="0"/>
        <v>300</v>
      </c>
      <c r="H6" s="580">
        <f t="shared" si="0"/>
        <v>1019</v>
      </c>
      <c r="I6" s="580">
        <f t="shared" si="0"/>
        <v>1195</v>
      </c>
      <c r="J6" s="580">
        <f t="shared" si="0"/>
        <v>2757</v>
      </c>
      <c r="K6" s="580">
        <f t="shared" si="0"/>
        <v>11100</v>
      </c>
      <c r="L6" s="580">
        <f t="shared" si="0"/>
        <v>20</v>
      </c>
      <c r="M6" s="580">
        <f t="shared" si="0"/>
        <v>20</v>
      </c>
      <c r="N6" s="580">
        <f t="shared" si="0"/>
        <v>7000</v>
      </c>
      <c r="O6" s="580">
        <f t="shared" si="0"/>
        <v>99964</v>
      </c>
      <c r="P6" s="580">
        <f t="shared" si="0"/>
        <v>41387</v>
      </c>
      <c r="Q6" s="580">
        <f t="shared" si="0"/>
        <v>40974</v>
      </c>
      <c r="R6" s="580">
        <f t="shared" si="0"/>
        <v>23508</v>
      </c>
      <c r="S6" s="580">
        <f t="shared" si="0"/>
        <v>1658</v>
      </c>
      <c r="T6" s="567"/>
      <c r="U6" s="150"/>
      <c r="V6" s="567">
        <f>SUM(O6:U6)</f>
        <v>207491</v>
      </c>
    </row>
    <row r="7" spans="1:22" s="115" customFormat="1" ht="33.75" customHeight="1">
      <c r="A7" s="436"/>
      <c r="B7" s="436" t="s">
        <v>447</v>
      </c>
      <c r="C7" s="592">
        <f>C8+C11</f>
        <v>252641</v>
      </c>
      <c r="D7" s="592">
        <f aca="true" t="shared" si="1" ref="D7:N7">D8+D11</f>
        <v>10819</v>
      </c>
      <c r="E7" s="592">
        <f t="shared" si="1"/>
        <v>7884</v>
      </c>
      <c r="F7" s="592">
        <f t="shared" si="1"/>
        <v>3036</v>
      </c>
      <c r="G7" s="592">
        <f t="shared" si="1"/>
        <v>300</v>
      </c>
      <c r="H7" s="592">
        <f t="shared" si="1"/>
        <v>1019</v>
      </c>
      <c r="I7" s="592">
        <f t="shared" si="1"/>
        <v>1195</v>
      </c>
      <c r="J7" s="592">
        <f t="shared" si="1"/>
        <v>2757</v>
      </c>
      <c r="K7" s="592">
        <f t="shared" si="1"/>
        <v>11100</v>
      </c>
      <c r="L7" s="592">
        <f t="shared" si="1"/>
        <v>20</v>
      </c>
      <c r="M7" s="592">
        <f t="shared" si="1"/>
        <v>20</v>
      </c>
      <c r="N7" s="592">
        <f t="shared" si="1"/>
        <v>7000</v>
      </c>
      <c r="O7" s="592">
        <f>+O8+O11</f>
        <v>99964</v>
      </c>
      <c r="P7" s="592">
        <f>+P8+P11</f>
        <v>41387</v>
      </c>
      <c r="Q7" s="592">
        <f>+Q8+Q11</f>
        <v>40974</v>
      </c>
      <c r="R7" s="592">
        <f>+R8+R11</f>
        <v>23508</v>
      </c>
      <c r="S7" s="592">
        <f>+S8+S11</f>
        <v>1658</v>
      </c>
      <c r="T7" s="597"/>
      <c r="U7" s="597"/>
      <c r="V7" s="597">
        <f>SUM(O7:U7)</f>
        <v>207491</v>
      </c>
    </row>
    <row r="8" spans="1:22" ht="28.5" customHeight="1">
      <c r="A8" s="450" t="s">
        <v>597</v>
      </c>
      <c r="B8" s="503" t="s">
        <v>536</v>
      </c>
      <c r="C8" s="450">
        <f>SUM(C9:C10)</f>
        <v>221056</v>
      </c>
      <c r="D8" s="450">
        <f aca="true" t="shared" si="2" ref="D8:N8">SUM(D9:D10)</f>
        <v>10819</v>
      </c>
      <c r="E8" s="450">
        <f t="shared" si="2"/>
        <v>6299</v>
      </c>
      <c r="F8" s="450">
        <f t="shared" si="2"/>
        <v>3036</v>
      </c>
      <c r="G8" s="450">
        <f t="shared" si="2"/>
        <v>300</v>
      </c>
      <c r="H8" s="450">
        <f t="shared" si="2"/>
        <v>1019</v>
      </c>
      <c r="I8" s="450">
        <f t="shared" si="2"/>
        <v>1195</v>
      </c>
      <c r="J8" s="450">
        <f t="shared" si="2"/>
        <v>2757</v>
      </c>
      <c r="K8" s="450">
        <f t="shared" si="2"/>
        <v>11100</v>
      </c>
      <c r="L8" s="450">
        <f t="shared" si="2"/>
        <v>20</v>
      </c>
      <c r="M8" s="450">
        <f t="shared" si="2"/>
        <v>20</v>
      </c>
      <c r="N8" s="450">
        <f t="shared" si="2"/>
        <v>4000</v>
      </c>
      <c r="O8" s="177">
        <f>+O9+O10</f>
        <v>86648</v>
      </c>
      <c r="P8" s="177">
        <f>+P9+P10</f>
        <v>37071</v>
      </c>
      <c r="Q8" s="177">
        <f>+Q9+Q10</f>
        <v>33466</v>
      </c>
      <c r="R8" s="177">
        <f>+R9+R10</f>
        <v>21660</v>
      </c>
      <c r="S8" s="177">
        <f>+S9+S10</f>
        <v>1646</v>
      </c>
      <c r="T8" s="150"/>
      <c r="U8" s="150"/>
      <c r="V8" s="150"/>
    </row>
    <row r="9" spans="1:22" ht="27" customHeight="1">
      <c r="A9" s="450"/>
      <c r="B9" s="504" t="s">
        <v>537</v>
      </c>
      <c r="C9" s="557">
        <f>SUM(D9:S9)</f>
        <v>150911</v>
      </c>
      <c r="D9" s="557">
        <f>D16+D22+D29+D40+D49+D64+D84</f>
        <v>0</v>
      </c>
      <c r="E9" s="557">
        <f>E16+E22+E29+E40+E49+E64+E84</f>
        <v>0</v>
      </c>
      <c r="F9" s="557">
        <f>F16+F22+F29+F40+F49+F64+F84</f>
        <v>0</v>
      </c>
      <c r="G9" s="557"/>
      <c r="H9" s="557">
        <f aca="true" t="shared" si="3" ref="H9:N9">H16+H22+H29+H40+H49+H64+H84</f>
        <v>0</v>
      </c>
      <c r="I9" s="557">
        <f t="shared" si="3"/>
        <v>0</v>
      </c>
      <c r="J9" s="557">
        <f t="shared" si="3"/>
        <v>2422</v>
      </c>
      <c r="K9" s="557">
        <f t="shared" si="3"/>
        <v>0</v>
      </c>
      <c r="L9" s="557">
        <f t="shared" si="3"/>
        <v>0</v>
      </c>
      <c r="M9" s="557">
        <f t="shared" si="3"/>
        <v>0</v>
      </c>
      <c r="N9" s="557">
        <f t="shared" si="3"/>
        <v>4000</v>
      </c>
      <c r="O9" s="505">
        <f>+O16+O22+O29+O40+O49+O64+O84</f>
        <v>71085</v>
      </c>
      <c r="P9" s="505">
        <f>+P16+P22+P29+P40+P49+P64+P84</f>
        <v>29058</v>
      </c>
      <c r="Q9" s="505">
        <f>+Q16+Q22+Q29+Q40+Q49+Q64+Q84</f>
        <v>25984</v>
      </c>
      <c r="R9" s="505">
        <f>+R16+R22+R29+R40+R49+R64+R84</f>
        <v>17758</v>
      </c>
      <c r="S9" s="505">
        <f>+S16+S22+S29+S40+S49+S64+S84</f>
        <v>604</v>
      </c>
      <c r="T9" s="150"/>
      <c r="U9" s="150"/>
      <c r="V9" s="150"/>
    </row>
    <row r="10" spans="1:22" ht="27" customHeight="1">
      <c r="A10" s="450"/>
      <c r="B10" s="504" t="s">
        <v>538</v>
      </c>
      <c r="C10" s="505">
        <f>C17+C26+C30+C41+C50+C55+C58+C61+C65+C68+C71+C75+C79+C85+C88</f>
        <v>70145</v>
      </c>
      <c r="D10" s="505">
        <f>D17+D26+D30+D41+D50+D55+D58+D61+D68+D75+D79+D85+D88</f>
        <v>10819</v>
      </c>
      <c r="E10" s="505">
        <f>E17+E26+E30+E41+E50+E55+E58+E61+E68+E75+E79+E85+E88</f>
        <v>6299</v>
      </c>
      <c r="F10" s="505">
        <f>F17+F26+F30+F41+F50+F55+F58+F61+F68+F75+F79+F85+F88</f>
        <v>3036</v>
      </c>
      <c r="G10" s="505">
        <f>G17+G26+G30+G41+G50+G55+G58+G61+G68+G75+G79+G85+G88</f>
        <v>300</v>
      </c>
      <c r="H10" s="505">
        <f>H17+W66+H26+H30+H41+H50+H55+H58+H61+H68+H75+H79+H85+H88+H65</f>
        <v>1019</v>
      </c>
      <c r="I10" s="505">
        <f>I17+I26+I30+I41+I50+I55+I58+I61+I68+I75+I79+I85+I88+I71</f>
        <v>1195</v>
      </c>
      <c r="J10" s="505">
        <f>J17+J26+J30+J41+J50+J55+J58+J61+J68+J75+J79+J85+J88</f>
        <v>335</v>
      </c>
      <c r="K10" s="505">
        <f>K17+K26+K30+K41+K50+K55+K58+K61+K68+K75+K79+K85+K88</f>
        <v>11100</v>
      </c>
      <c r="L10" s="505">
        <f>L17+L26+L30+L41+L50+L55+L58+L61+L68+L75+L79+L85+L88</f>
        <v>20</v>
      </c>
      <c r="M10" s="505">
        <f>M17+M26+M30+M41+M50+M55+M58+M61+M68+M75+M79+M85+M88</f>
        <v>20</v>
      </c>
      <c r="N10" s="505">
        <f>N17+N26+N30+N41+N50+N55+N58+N61+N68+N75+N79+N85+N88</f>
        <v>0</v>
      </c>
      <c r="O10" s="505">
        <f>+O17+O26+O30+O41+O50+O55+O58+O65+O68+O71+O75+O79+O85+O88</f>
        <v>15563</v>
      </c>
      <c r="P10" s="505">
        <f>+P17+P26+P30+P41+P50+P55+P58+P65+P68+P71+P75+P79+P85+P88</f>
        <v>8013</v>
      </c>
      <c r="Q10" s="505">
        <f>+Q17+Q26+Q30+Q41+Q50+Q55+Q58+Q65+Q68+Q71+Q75+Q79+Q85+Q88</f>
        <v>7482</v>
      </c>
      <c r="R10" s="505">
        <f>+R17+R26+R30+R41+R50+R55+R58+R65+R68+R71+R75+R79+R85+R88</f>
        <v>3902</v>
      </c>
      <c r="S10" s="505">
        <f>+S17+S26+S30+S41+S50+S55+S58+S65+S68+S71+S75+S79+S85+S88</f>
        <v>1042</v>
      </c>
      <c r="T10" s="150"/>
      <c r="U10" s="150"/>
      <c r="V10" s="150"/>
    </row>
    <row r="11" spans="1:22" ht="24" customHeight="1">
      <c r="A11" s="450" t="s">
        <v>22</v>
      </c>
      <c r="B11" s="503" t="s">
        <v>539</v>
      </c>
      <c r="C11" s="177">
        <f>SUM(C12:C13)</f>
        <v>31585</v>
      </c>
      <c r="D11" s="177">
        <f>SUM(D12:D13)</f>
        <v>0</v>
      </c>
      <c r="E11" s="177">
        <f aca="true" t="shared" si="4" ref="E11:S11">SUM(E12:E13)</f>
        <v>1585</v>
      </c>
      <c r="F11" s="177">
        <f t="shared" si="4"/>
        <v>0</v>
      </c>
      <c r="G11" s="177"/>
      <c r="H11" s="177">
        <f t="shared" si="4"/>
        <v>0</v>
      </c>
      <c r="I11" s="177">
        <f t="shared" si="4"/>
        <v>0</v>
      </c>
      <c r="J11" s="177">
        <f t="shared" si="4"/>
        <v>0</v>
      </c>
      <c r="K11" s="177">
        <f t="shared" si="4"/>
        <v>0</v>
      </c>
      <c r="L11" s="177">
        <f t="shared" si="4"/>
        <v>0</v>
      </c>
      <c r="M11" s="177">
        <f t="shared" si="4"/>
        <v>0</v>
      </c>
      <c r="N11" s="177">
        <f t="shared" si="4"/>
        <v>3000</v>
      </c>
      <c r="O11" s="177">
        <f t="shared" si="4"/>
        <v>13316</v>
      </c>
      <c r="P11" s="177">
        <f t="shared" si="4"/>
        <v>4316</v>
      </c>
      <c r="Q11" s="177">
        <f t="shared" si="4"/>
        <v>7508</v>
      </c>
      <c r="R11" s="177">
        <f t="shared" si="4"/>
        <v>1848</v>
      </c>
      <c r="S11" s="177">
        <f t="shared" si="4"/>
        <v>12</v>
      </c>
      <c r="T11" s="150"/>
      <c r="U11" s="150"/>
      <c r="V11" s="150"/>
    </row>
    <row r="12" spans="1:22" ht="22.5" customHeight="1">
      <c r="A12" s="450"/>
      <c r="B12" s="504" t="s">
        <v>537</v>
      </c>
      <c r="C12" s="505">
        <f aca="true" t="shared" si="5" ref="C12:C23">SUM(D12:S12)</f>
        <v>30000</v>
      </c>
      <c r="D12" s="177">
        <f>D19+D43+D52</f>
        <v>0</v>
      </c>
      <c r="E12" s="177">
        <f>E19+E43+E52</f>
        <v>0</v>
      </c>
      <c r="F12" s="177">
        <f>F19+F43+F52</f>
        <v>0</v>
      </c>
      <c r="G12" s="177"/>
      <c r="H12" s="177">
        <f aca="true" t="shared" si="6" ref="H12:N12">H19+H43+H52</f>
        <v>0</v>
      </c>
      <c r="I12" s="177">
        <f t="shared" si="6"/>
        <v>0</v>
      </c>
      <c r="J12" s="177">
        <f t="shared" si="6"/>
        <v>0</v>
      </c>
      <c r="K12" s="177">
        <f t="shared" si="6"/>
        <v>0</v>
      </c>
      <c r="L12" s="177">
        <f t="shared" si="6"/>
        <v>0</v>
      </c>
      <c r="M12" s="177">
        <f t="shared" si="6"/>
        <v>0</v>
      </c>
      <c r="N12" s="177">
        <f t="shared" si="6"/>
        <v>3000</v>
      </c>
      <c r="O12" s="177">
        <f>+O19+O43+O52</f>
        <v>13316</v>
      </c>
      <c r="P12" s="177">
        <f>+P19+P43+P52</f>
        <v>4316</v>
      </c>
      <c r="Q12" s="177">
        <f>+Q19+Q43+Q52</f>
        <v>7508</v>
      </c>
      <c r="R12" s="177">
        <f>+R19+R43+R52</f>
        <v>1848</v>
      </c>
      <c r="S12" s="177">
        <f>+S19+S43+S52</f>
        <v>12</v>
      </c>
      <c r="T12" s="150"/>
      <c r="U12" s="567"/>
      <c r="V12" s="150"/>
    </row>
    <row r="13" spans="1:22" ht="24" customHeight="1">
      <c r="A13" s="450"/>
      <c r="B13" s="504" t="s">
        <v>538</v>
      </c>
      <c r="C13" s="505">
        <f t="shared" si="5"/>
        <v>1585</v>
      </c>
      <c r="D13" s="177">
        <f>D81+D90</f>
        <v>0</v>
      </c>
      <c r="E13" s="177">
        <f aca="true" t="shared" si="7" ref="E13:S13">E81+E90</f>
        <v>1585</v>
      </c>
      <c r="F13" s="177">
        <f t="shared" si="7"/>
        <v>0</v>
      </c>
      <c r="G13" s="177"/>
      <c r="H13" s="177">
        <f t="shared" si="7"/>
        <v>0</v>
      </c>
      <c r="I13" s="177">
        <f t="shared" si="7"/>
        <v>0</v>
      </c>
      <c r="J13" s="177">
        <f t="shared" si="7"/>
        <v>0</v>
      </c>
      <c r="K13" s="177">
        <f t="shared" si="7"/>
        <v>0</v>
      </c>
      <c r="L13" s="177">
        <f t="shared" si="7"/>
        <v>0</v>
      </c>
      <c r="M13" s="177">
        <f t="shared" si="7"/>
        <v>0</v>
      </c>
      <c r="N13" s="177">
        <f t="shared" si="7"/>
        <v>0</v>
      </c>
      <c r="O13" s="177">
        <f>+O81</f>
        <v>0</v>
      </c>
      <c r="P13" s="177">
        <f t="shared" si="7"/>
        <v>0</v>
      </c>
      <c r="Q13" s="177">
        <f t="shared" si="7"/>
        <v>0</v>
      </c>
      <c r="R13" s="177">
        <f t="shared" si="7"/>
        <v>0</v>
      </c>
      <c r="S13" s="177">
        <f t="shared" si="7"/>
        <v>0</v>
      </c>
      <c r="T13" s="150"/>
      <c r="U13" s="150"/>
      <c r="V13" s="150"/>
    </row>
    <row r="14" spans="1:22" s="196" customFormat="1" ht="48.75" customHeight="1">
      <c r="A14" s="212" t="s">
        <v>13</v>
      </c>
      <c r="B14" s="517" t="s">
        <v>506</v>
      </c>
      <c r="C14" s="177">
        <f t="shared" si="5"/>
        <v>32720</v>
      </c>
      <c r="D14" s="565"/>
      <c r="E14" s="565"/>
      <c r="F14" s="565"/>
      <c r="G14" s="565"/>
      <c r="H14" s="565"/>
      <c r="I14" s="565"/>
      <c r="J14" s="565"/>
      <c r="K14" s="565"/>
      <c r="L14" s="565"/>
      <c r="M14" s="565"/>
      <c r="N14" s="565"/>
      <c r="O14" s="565">
        <f>SUM(O15:O19)</f>
        <v>16039</v>
      </c>
      <c r="P14" s="565">
        <f>SUM(P15:P19)</f>
        <v>4876</v>
      </c>
      <c r="Q14" s="565">
        <f>SUM(Q15:Q19)</f>
        <v>9210</v>
      </c>
      <c r="R14" s="565">
        <f>SUM(R15:R19)</f>
        <v>2232</v>
      </c>
      <c r="S14" s="565">
        <f>SUM(S15:S19)</f>
        <v>363</v>
      </c>
      <c r="T14" s="595">
        <f>SUM(O14:S14)</f>
        <v>32720</v>
      </c>
      <c r="U14" s="596"/>
      <c r="V14" s="595"/>
    </row>
    <row r="15" spans="1:22" ht="26.25" customHeight="1">
      <c r="A15" s="240"/>
      <c r="B15" s="503" t="s">
        <v>536</v>
      </c>
      <c r="C15" s="177">
        <f t="shared" si="5"/>
        <v>0</v>
      </c>
      <c r="D15" s="505"/>
      <c r="E15" s="505"/>
      <c r="F15" s="505"/>
      <c r="G15" s="505"/>
      <c r="H15" s="505"/>
      <c r="I15" s="505"/>
      <c r="J15" s="505"/>
      <c r="K15" s="505"/>
      <c r="L15" s="505"/>
      <c r="M15" s="505"/>
      <c r="N15" s="505"/>
      <c r="O15" s="505"/>
      <c r="P15" s="505"/>
      <c r="Q15" s="505"/>
      <c r="R15" s="505"/>
      <c r="S15" s="505"/>
      <c r="T15" s="595">
        <f aca="true" t="shared" si="8" ref="T15:T78">SUM(O15:S15)</f>
        <v>0</v>
      </c>
      <c r="U15" s="150"/>
      <c r="V15" s="150"/>
    </row>
    <row r="16" spans="1:22" ht="22.5" customHeight="1">
      <c r="A16" s="240"/>
      <c r="B16" s="504" t="s">
        <v>537</v>
      </c>
      <c r="C16" s="177">
        <f t="shared" si="5"/>
        <v>24633</v>
      </c>
      <c r="D16" s="505"/>
      <c r="E16" s="505"/>
      <c r="F16" s="505"/>
      <c r="G16" s="505"/>
      <c r="H16" s="505"/>
      <c r="I16" s="505"/>
      <c r="J16" s="505"/>
      <c r="K16" s="505"/>
      <c r="L16" s="505"/>
      <c r="M16" s="505"/>
      <c r="N16" s="505"/>
      <c r="O16" s="505">
        <v>14553</v>
      </c>
      <c r="P16" s="505">
        <v>3460</v>
      </c>
      <c r="Q16" s="505">
        <v>5380</v>
      </c>
      <c r="R16" s="505">
        <v>1120</v>
      </c>
      <c r="S16" s="505">
        <v>120</v>
      </c>
      <c r="T16" s="595">
        <f t="shared" si="8"/>
        <v>24633</v>
      </c>
      <c r="U16" s="150"/>
      <c r="V16" s="150"/>
    </row>
    <row r="17" spans="1:22" ht="21" customHeight="1">
      <c r="A17" s="240"/>
      <c r="B17" s="504" t="s">
        <v>538</v>
      </c>
      <c r="C17" s="177">
        <f t="shared" si="5"/>
        <v>6823</v>
      </c>
      <c r="D17" s="505"/>
      <c r="E17" s="505"/>
      <c r="F17" s="505"/>
      <c r="G17" s="505"/>
      <c r="H17" s="505"/>
      <c r="I17" s="505"/>
      <c r="J17" s="505"/>
      <c r="K17" s="505"/>
      <c r="L17" s="505"/>
      <c r="M17" s="505"/>
      <c r="N17" s="505"/>
      <c r="O17" s="505">
        <v>1170</v>
      </c>
      <c r="P17" s="505">
        <v>1100</v>
      </c>
      <c r="Q17" s="505">
        <v>3322</v>
      </c>
      <c r="R17" s="505">
        <v>1000</v>
      </c>
      <c r="S17" s="505">
        <v>231</v>
      </c>
      <c r="T17" s="595">
        <f t="shared" si="8"/>
        <v>6823</v>
      </c>
      <c r="U17" s="150"/>
      <c r="V17" s="150"/>
    </row>
    <row r="18" spans="1:22" ht="15">
      <c r="A18" s="240"/>
      <c r="B18" s="503" t="s">
        <v>539</v>
      </c>
      <c r="C18" s="177">
        <f t="shared" si="5"/>
        <v>0</v>
      </c>
      <c r="D18" s="569"/>
      <c r="E18" s="569"/>
      <c r="F18" s="569"/>
      <c r="G18" s="569"/>
      <c r="H18" s="569"/>
      <c r="I18" s="569"/>
      <c r="J18" s="569"/>
      <c r="K18" s="569"/>
      <c r="L18" s="569"/>
      <c r="M18" s="569"/>
      <c r="N18" s="505"/>
      <c r="O18" s="505"/>
      <c r="P18" s="505"/>
      <c r="Q18" s="505"/>
      <c r="R18" s="505"/>
      <c r="S18" s="505"/>
      <c r="T18" s="595">
        <f t="shared" si="8"/>
        <v>0</v>
      </c>
      <c r="U18" s="150"/>
      <c r="V18" s="150"/>
    </row>
    <row r="19" spans="1:22" ht="21" customHeight="1">
      <c r="A19" s="240"/>
      <c r="B19" s="504" t="s">
        <v>537</v>
      </c>
      <c r="C19" s="177">
        <f t="shared" si="5"/>
        <v>1264</v>
      </c>
      <c r="D19" s="569"/>
      <c r="E19" s="569"/>
      <c r="F19" s="569"/>
      <c r="G19" s="569"/>
      <c r="H19" s="569"/>
      <c r="I19" s="569"/>
      <c r="J19" s="569"/>
      <c r="K19" s="569"/>
      <c r="L19" s="569"/>
      <c r="M19" s="569"/>
      <c r="N19" s="505"/>
      <c r="O19" s="505">
        <v>316</v>
      </c>
      <c r="P19" s="505">
        <v>316</v>
      </c>
      <c r="Q19" s="505">
        <v>508</v>
      </c>
      <c r="R19" s="505">
        <v>112</v>
      </c>
      <c r="S19" s="505">
        <v>12</v>
      </c>
      <c r="T19" s="595">
        <f t="shared" si="8"/>
        <v>1264</v>
      </c>
      <c r="U19" s="150"/>
      <c r="V19" s="150"/>
    </row>
    <row r="20" spans="1:22" ht="92.25" customHeight="1">
      <c r="A20" s="212" t="s">
        <v>15</v>
      </c>
      <c r="B20" s="516" t="s">
        <v>513</v>
      </c>
      <c r="C20" s="230">
        <f t="shared" si="5"/>
        <v>8846</v>
      </c>
      <c r="D20" s="565">
        <f>SUM(D21:D22)</f>
        <v>0</v>
      </c>
      <c r="E20" s="565">
        <f>SUM(E21:E22)</f>
        <v>0</v>
      </c>
      <c r="F20" s="565">
        <f>SUM(F21:F22)</f>
        <v>0</v>
      </c>
      <c r="G20" s="565"/>
      <c r="H20" s="565">
        <f aca="true" t="shared" si="9" ref="H20:S20">SUM(H21:H22)</f>
        <v>0</v>
      </c>
      <c r="I20" s="565">
        <f t="shared" si="9"/>
        <v>0</v>
      </c>
      <c r="J20" s="565">
        <f t="shared" si="9"/>
        <v>0</v>
      </c>
      <c r="K20" s="565">
        <f t="shared" si="9"/>
        <v>0</v>
      </c>
      <c r="L20" s="565">
        <f t="shared" si="9"/>
        <v>0</v>
      </c>
      <c r="M20" s="565">
        <f t="shared" si="9"/>
        <v>0</v>
      </c>
      <c r="N20" s="565">
        <f t="shared" si="9"/>
        <v>0</v>
      </c>
      <c r="O20" s="565">
        <f t="shared" si="9"/>
        <v>7000</v>
      </c>
      <c r="P20" s="565">
        <f t="shared" si="9"/>
        <v>0</v>
      </c>
      <c r="Q20" s="565">
        <f t="shared" si="9"/>
        <v>0</v>
      </c>
      <c r="R20" s="565">
        <f t="shared" si="9"/>
        <v>1846</v>
      </c>
      <c r="S20" s="565">
        <f t="shared" si="9"/>
        <v>0</v>
      </c>
      <c r="T20" s="595">
        <f t="shared" si="8"/>
        <v>8846</v>
      </c>
      <c r="U20" s="150"/>
      <c r="V20" s="150"/>
    </row>
    <row r="21" spans="1:22" ht="24" customHeight="1">
      <c r="A21" s="240"/>
      <c r="B21" s="503" t="s">
        <v>536</v>
      </c>
      <c r="C21" s="230">
        <f t="shared" si="5"/>
        <v>0</v>
      </c>
      <c r="D21" s="565"/>
      <c r="E21" s="565"/>
      <c r="F21" s="565"/>
      <c r="G21" s="565"/>
      <c r="H21" s="565"/>
      <c r="I21" s="565"/>
      <c r="J21" s="565"/>
      <c r="K21" s="565"/>
      <c r="L21" s="565"/>
      <c r="M21" s="565"/>
      <c r="N21" s="505"/>
      <c r="O21" s="505"/>
      <c r="P21" s="177"/>
      <c r="Q21" s="177"/>
      <c r="R21" s="505"/>
      <c r="S21" s="177"/>
      <c r="T21" s="595">
        <f t="shared" si="8"/>
        <v>0</v>
      </c>
      <c r="U21" s="150"/>
      <c r="V21" s="150"/>
    </row>
    <row r="22" spans="1:22" ht="15">
      <c r="A22" s="240"/>
      <c r="B22" s="504" t="s">
        <v>537</v>
      </c>
      <c r="C22" s="230">
        <f t="shared" si="5"/>
        <v>8846</v>
      </c>
      <c r="D22" s="565"/>
      <c r="E22" s="565"/>
      <c r="F22" s="565"/>
      <c r="G22" s="565"/>
      <c r="H22" s="565"/>
      <c r="I22" s="565"/>
      <c r="J22" s="565"/>
      <c r="K22" s="565"/>
      <c r="L22" s="565"/>
      <c r="M22" s="565"/>
      <c r="N22" s="505"/>
      <c r="O22" s="505">
        <v>7000</v>
      </c>
      <c r="P22" s="177"/>
      <c r="Q22" s="177"/>
      <c r="R22" s="505">
        <v>1846</v>
      </c>
      <c r="S22" s="177"/>
      <c r="T22" s="595">
        <f t="shared" si="8"/>
        <v>8846</v>
      </c>
      <c r="U22" s="150"/>
      <c r="V22" s="150"/>
    </row>
    <row r="23" spans="1:22" ht="60">
      <c r="A23" s="214" t="s">
        <v>12</v>
      </c>
      <c r="B23" s="517" t="s">
        <v>514</v>
      </c>
      <c r="C23" s="177">
        <f t="shared" si="5"/>
        <v>29757</v>
      </c>
      <c r="D23" s="565">
        <f>SUM(D24:D30)</f>
        <v>10789</v>
      </c>
      <c r="E23" s="565">
        <f aca="true" t="shared" si="10" ref="E23:S23">SUM(E24:E30)</f>
        <v>571</v>
      </c>
      <c r="F23" s="565">
        <f t="shared" si="10"/>
        <v>0</v>
      </c>
      <c r="G23" s="565"/>
      <c r="H23" s="565">
        <f t="shared" si="10"/>
        <v>0</v>
      </c>
      <c r="I23" s="565">
        <f t="shared" si="10"/>
        <v>0</v>
      </c>
      <c r="J23" s="565">
        <f t="shared" si="10"/>
        <v>0</v>
      </c>
      <c r="K23" s="565">
        <f t="shared" si="10"/>
        <v>0</v>
      </c>
      <c r="L23" s="565">
        <f t="shared" si="10"/>
        <v>0</v>
      </c>
      <c r="M23" s="565">
        <f t="shared" si="10"/>
        <v>0</v>
      </c>
      <c r="N23" s="565">
        <f t="shared" si="10"/>
        <v>0</v>
      </c>
      <c r="O23" s="565">
        <f t="shared" si="10"/>
        <v>13253</v>
      </c>
      <c r="P23" s="565">
        <f t="shared" si="10"/>
        <v>2648</v>
      </c>
      <c r="Q23" s="565">
        <f t="shared" si="10"/>
        <v>1472</v>
      </c>
      <c r="R23" s="565">
        <f t="shared" si="10"/>
        <v>947</v>
      </c>
      <c r="S23" s="565">
        <f t="shared" si="10"/>
        <v>77</v>
      </c>
      <c r="T23" s="595">
        <f t="shared" si="8"/>
        <v>18397</v>
      </c>
      <c r="U23" s="567">
        <f>+T23+E23+D23</f>
        <v>29757</v>
      </c>
      <c r="V23" s="150"/>
    </row>
    <row r="24" spans="1:22" ht="52.5" customHeight="1">
      <c r="A24" s="217">
        <v>1</v>
      </c>
      <c r="B24" s="518" t="s">
        <v>515</v>
      </c>
      <c r="C24" s="177"/>
      <c r="D24" s="565"/>
      <c r="E24" s="565"/>
      <c r="F24" s="565"/>
      <c r="G24" s="565"/>
      <c r="H24" s="565"/>
      <c r="I24" s="565"/>
      <c r="J24" s="565"/>
      <c r="K24" s="565"/>
      <c r="L24" s="565"/>
      <c r="M24" s="565"/>
      <c r="N24" s="505"/>
      <c r="O24" s="505"/>
      <c r="P24" s="177"/>
      <c r="Q24" s="177"/>
      <c r="R24" s="505"/>
      <c r="S24" s="177"/>
      <c r="T24" s="595">
        <f t="shared" si="8"/>
        <v>0</v>
      </c>
      <c r="U24" s="150"/>
      <c r="V24" s="150"/>
    </row>
    <row r="25" spans="1:22" ht="18" customHeight="1">
      <c r="A25" s="217"/>
      <c r="B25" s="503" t="s">
        <v>536</v>
      </c>
      <c r="C25" s="177">
        <f aca="true" t="shared" si="11" ref="C25:C30">SUM(D25:S25)</f>
        <v>0</v>
      </c>
      <c r="D25" s="565"/>
      <c r="E25" s="565"/>
      <c r="F25" s="565"/>
      <c r="G25" s="565"/>
      <c r="H25" s="565"/>
      <c r="I25" s="565"/>
      <c r="J25" s="565"/>
      <c r="K25" s="565"/>
      <c r="L25" s="565"/>
      <c r="M25" s="565"/>
      <c r="N25" s="505"/>
      <c r="O25" s="505"/>
      <c r="P25" s="177"/>
      <c r="Q25" s="177"/>
      <c r="R25" s="505"/>
      <c r="S25" s="177"/>
      <c r="T25" s="595">
        <f t="shared" si="8"/>
        <v>0</v>
      </c>
      <c r="U25" s="150"/>
      <c r="V25" s="150"/>
    </row>
    <row r="26" spans="1:22" ht="25.5" customHeight="1">
      <c r="A26" s="217"/>
      <c r="B26" s="504" t="s">
        <v>538</v>
      </c>
      <c r="C26" s="177">
        <f t="shared" si="11"/>
        <v>10789</v>
      </c>
      <c r="D26" s="569">
        <v>10789</v>
      </c>
      <c r="E26" s="565"/>
      <c r="F26" s="565"/>
      <c r="G26" s="565"/>
      <c r="H26" s="565"/>
      <c r="I26" s="565"/>
      <c r="J26" s="565"/>
      <c r="K26" s="565"/>
      <c r="L26" s="565"/>
      <c r="M26" s="565"/>
      <c r="N26" s="505"/>
      <c r="O26" s="505"/>
      <c r="P26" s="177"/>
      <c r="Q26" s="177"/>
      <c r="R26" s="505"/>
      <c r="S26" s="177"/>
      <c r="T26" s="595">
        <f t="shared" si="8"/>
        <v>0</v>
      </c>
      <c r="U26" s="150"/>
      <c r="V26" s="150"/>
    </row>
    <row r="27" spans="1:22" ht="77.25">
      <c r="A27" s="217">
        <v>2</v>
      </c>
      <c r="B27" s="521" t="s">
        <v>516</v>
      </c>
      <c r="C27" s="177">
        <f t="shared" si="11"/>
        <v>0</v>
      </c>
      <c r="D27" s="565"/>
      <c r="E27" s="565"/>
      <c r="F27" s="565"/>
      <c r="G27" s="565"/>
      <c r="H27" s="565"/>
      <c r="I27" s="565"/>
      <c r="J27" s="565"/>
      <c r="K27" s="565"/>
      <c r="L27" s="565"/>
      <c r="M27" s="565"/>
      <c r="N27" s="505"/>
      <c r="O27" s="505"/>
      <c r="P27" s="177"/>
      <c r="Q27" s="177"/>
      <c r="R27" s="505"/>
      <c r="S27" s="177"/>
      <c r="T27" s="595">
        <f t="shared" si="8"/>
        <v>0</v>
      </c>
      <c r="U27" s="150"/>
      <c r="V27" s="150"/>
    </row>
    <row r="28" spans="1:22" ht="23.25" customHeight="1">
      <c r="A28" s="217"/>
      <c r="B28" s="503" t="s">
        <v>536</v>
      </c>
      <c r="C28" s="177">
        <f t="shared" si="11"/>
        <v>0</v>
      </c>
      <c r="D28" s="565"/>
      <c r="E28" s="565"/>
      <c r="F28" s="565"/>
      <c r="G28" s="565"/>
      <c r="H28" s="565"/>
      <c r="I28" s="565"/>
      <c r="J28" s="565"/>
      <c r="K28" s="565"/>
      <c r="L28" s="565"/>
      <c r="M28" s="565"/>
      <c r="N28" s="505"/>
      <c r="O28" s="505"/>
      <c r="P28" s="177"/>
      <c r="Q28" s="177"/>
      <c r="R28" s="505"/>
      <c r="S28" s="177"/>
      <c r="T28" s="595">
        <f t="shared" si="8"/>
        <v>0</v>
      </c>
      <c r="U28" s="150"/>
      <c r="V28" s="150"/>
    </row>
    <row r="29" spans="1:22" ht="26.25" customHeight="1">
      <c r="A29" s="217"/>
      <c r="B29" s="504" t="s">
        <v>537</v>
      </c>
      <c r="C29" s="177">
        <f t="shared" si="11"/>
        <v>6181</v>
      </c>
      <c r="D29" s="565"/>
      <c r="E29" s="565"/>
      <c r="F29" s="565"/>
      <c r="G29" s="565"/>
      <c r="H29" s="565"/>
      <c r="I29" s="565"/>
      <c r="J29" s="565"/>
      <c r="K29" s="565"/>
      <c r="L29" s="565"/>
      <c r="M29" s="565"/>
      <c r="N29" s="505"/>
      <c r="O29" s="505">
        <v>6181</v>
      </c>
      <c r="P29" s="177"/>
      <c r="Q29" s="177"/>
      <c r="R29" s="505"/>
      <c r="S29" s="177"/>
      <c r="T29" s="595">
        <f t="shared" si="8"/>
        <v>6181</v>
      </c>
      <c r="U29" s="150"/>
      <c r="V29" s="150"/>
    </row>
    <row r="30" spans="1:22" ht="25.5" customHeight="1">
      <c r="A30" s="217"/>
      <c r="B30" s="504" t="s">
        <v>538</v>
      </c>
      <c r="C30" s="177">
        <f t="shared" si="11"/>
        <v>12787</v>
      </c>
      <c r="D30" s="565"/>
      <c r="E30" s="569">
        <v>571</v>
      </c>
      <c r="F30" s="565"/>
      <c r="G30" s="565"/>
      <c r="H30" s="565"/>
      <c r="I30" s="565"/>
      <c r="J30" s="565"/>
      <c r="K30" s="565"/>
      <c r="L30" s="565"/>
      <c r="M30" s="565"/>
      <c r="N30" s="505"/>
      <c r="O30" s="505">
        <f>4372+2700</f>
        <v>7072</v>
      </c>
      <c r="P30" s="505">
        <v>2648</v>
      </c>
      <c r="Q30" s="505">
        <v>1472</v>
      </c>
      <c r="R30" s="505">
        <v>947</v>
      </c>
      <c r="S30" s="505">
        <v>77</v>
      </c>
      <c r="T30" s="595">
        <f t="shared" si="8"/>
        <v>12216</v>
      </c>
      <c r="U30" s="567">
        <f>+T30+E30</f>
        <v>12787</v>
      </c>
      <c r="V30" s="150"/>
    </row>
    <row r="31" spans="1:22" ht="75">
      <c r="A31" s="214" t="s">
        <v>16</v>
      </c>
      <c r="B31" s="517" t="s">
        <v>347</v>
      </c>
      <c r="C31" s="177">
        <f>C32</f>
        <v>104733</v>
      </c>
      <c r="D31" s="177">
        <f aca="true" t="shared" si="12" ref="D31:S31">D32</f>
        <v>0</v>
      </c>
      <c r="E31" s="177">
        <f t="shared" si="12"/>
        <v>0</v>
      </c>
      <c r="F31" s="177">
        <f t="shared" si="12"/>
        <v>0</v>
      </c>
      <c r="G31" s="177">
        <f t="shared" si="12"/>
        <v>0</v>
      </c>
      <c r="H31" s="177">
        <f t="shared" si="12"/>
        <v>0</v>
      </c>
      <c r="I31" s="177">
        <f t="shared" si="12"/>
        <v>0</v>
      </c>
      <c r="J31" s="177">
        <f t="shared" si="12"/>
        <v>0</v>
      </c>
      <c r="K31" s="177">
        <f t="shared" si="12"/>
        <v>0</v>
      </c>
      <c r="L31" s="177">
        <f t="shared" si="12"/>
        <v>0</v>
      </c>
      <c r="M31" s="177">
        <f t="shared" si="12"/>
        <v>0</v>
      </c>
      <c r="N31" s="177">
        <f t="shared" si="12"/>
        <v>0</v>
      </c>
      <c r="O31" s="177">
        <f t="shared" si="12"/>
        <v>51842</v>
      </c>
      <c r="P31" s="177">
        <f t="shared" si="12"/>
        <v>25568</v>
      </c>
      <c r="Q31" s="177">
        <f t="shared" si="12"/>
        <v>19945</v>
      </c>
      <c r="R31" s="177">
        <f t="shared" si="12"/>
        <v>6868</v>
      </c>
      <c r="S31" s="177">
        <f t="shared" si="12"/>
        <v>510</v>
      </c>
      <c r="T31" s="595">
        <f t="shared" si="8"/>
        <v>104733</v>
      </c>
      <c r="U31" s="150"/>
      <c r="V31" s="150"/>
    </row>
    <row r="32" spans="1:22" ht="57.75" customHeight="1">
      <c r="A32" s="217">
        <v>1</v>
      </c>
      <c r="B32" s="521" t="s">
        <v>517</v>
      </c>
      <c r="C32" s="177">
        <f>SUM(C33:C38)</f>
        <v>104733</v>
      </c>
      <c r="D32" s="177"/>
      <c r="E32" s="177">
        <f aca="true" t="shared" si="13" ref="E32:N32">SUM(E33:E38)</f>
        <v>0</v>
      </c>
      <c r="F32" s="177">
        <f t="shared" si="13"/>
        <v>0</v>
      </c>
      <c r="G32" s="177">
        <f t="shared" si="13"/>
        <v>0</v>
      </c>
      <c r="H32" s="177">
        <f t="shared" si="13"/>
        <v>0</v>
      </c>
      <c r="I32" s="177">
        <f t="shared" si="13"/>
        <v>0</v>
      </c>
      <c r="J32" s="177">
        <f t="shared" si="13"/>
        <v>0</v>
      </c>
      <c r="K32" s="177">
        <f t="shared" si="13"/>
        <v>0</v>
      </c>
      <c r="L32" s="177">
        <f t="shared" si="13"/>
        <v>0</v>
      </c>
      <c r="M32" s="177">
        <f t="shared" si="13"/>
        <v>0</v>
      </c>
      <c r="N32" s="177">
        <f t="shared" si="13"/>
        <v>0</v>
      </c>
      <c r="O32" s="177">
        <f>O40+O41+O43</f>
        <v>51842</v>
      </c>
      <c r="P32" s="177">
        <f>P40+P41+P43</f>
        <v>25568</v>
      </c>
      <c r="Q32" s="177">
        <f>Q40+Q41+Q43</f>
        <v>19945</v>
      </c>
      <c r="R32" s="177">
        <f>R40+R41+R43</f>
        <v>6868</v>
      </c>
      <c r="S32" s="177">
        <f>S40+S41+S43</f>
        <v>510</v>
      </c>
      <c r="T32" s="595">
        <f t="shared" si="8"/>
        <v>104733</v>
      </c>
      <c r="U32" s="567"/>
      <c r="V32" s="150"/>
    </row>
    <row r="33" spans="1:23" ht="33.75" customHeight="1">
      <c r="A33" s="217" t="s">
        <v>511</v>
      </c>
      <c r="B33" s="513" t="s">
        <v>545</v>
      </c>
      <c r="C33" s="177">
        <f aca="true" t="shared" si="14" ref="C33:C43">SUM(D33:S33)</f>
        <v>63465</v>
      </c>
      <c r="D33" s="565"/>
      <c r="E33" s="569"/>
      <c r="F33" s="565"/>
      <c r="G33" s="565"/>
      <c r="H33" s="565"/>
      <c r="I33" s="565"/>
      <c r="J33" s="565"/>
      <c r="K33" s="565"/>
      <c r="L33" s="565"/>
      <c r="M33" s="565"/>
      <c r="N33" s="505"/>
      <c r="O33" s="505">
        <f>26499+3000</f>
        <v>29499</v>
      </c>
      <c r="P33" s="505">
        <v>17837</v>
      </c>
      <c r="Q33" s="505">
        <v>10043</v>
      </c>
      <c r="R33" s="505">
        <v>5602</v>
      </c>
      <c r="S33" s="505">
        <v>484</v>
      </c>
      <c r="T33" s="595">
        <f t="shared" si="8"/>
        <v>63465</v>
      </c>
      <c r="U33" s="150"/>
      <c r="V33" s="567"/>
      <c r="W33" s="329"/>
    </row>
    <row r="34" spans="1:22" ht="30.75" customHeight="1">
      <c r="A34" s="217" t="s">
        <v>511</v>
      </c>
      <c r="B34" s="518" t="s">
        <v>622</v>
      </c>
      <c r="C34" s="177">
        <f t="shared" si="14"/>
        <v>31071</v>
      </c>
      <c r="D34" s="565"/>
      <c r="E34" s="569"/>
      <c r="F34" s="565"/>
      <c r="G34" s="565"/>
      <c r="H34" s="565"/>
      <c r="I34" s="565"/>
      <c r="J34" s="565"/>
      <c r="K34" s="565"/>
      <c r="L34" s="565"/>
      <c r="M34" s="565"/>
      <c r="N34" s="505"/>
      <c r="O34" s="505">
        <f>8000+9500+271+300</f>
        <v>18071</v>
      </c>
      <c r="P34" s="505">
        <f>5500+500</f>
        <v>6000</v>
      </c>
      <c r="Q34" s="505">
        <f>1890+4910</f>
        <v>6800</v>
      </c>
      <c r="R34" s="505">
        <v>200</v>
      </c>
      <c r="S34" s="505"/>
      <c r="T34" s="595">
        <f t="shared" si="8"/>
        <v>31071</v>
      </c>
      <c r="U34" s="150"/>
      <c r="V34" s="567"/>
    </row>
    <row r="35" spans="1:22" ht="29.25" customHeight="1">
      <c r="A35" s="217" t="s">
        <v>511</v>
      </c>
      <c r="B35" s="518" t="s">
        <v>266</v>
      </c>
      <c r="C35" s="177">
        <f t="shared" si="14"/>
        <v>3805</v>
      </c>
      <c r="D35" s="565"/>
      <c r="E35" s="569"/>
      <c r="F35" s="565"/>
      <c r="G35" s="565"/>
      <c r="H35" s="565"/>
      <c r="I35" s="565"/>
      <c r="J35" s="565"/>
      <c r="K35" s="565"/>
      <c r="L35" s="565"/>
      <c r="M35" s="565"/>
      <c r="N35" s="505"/>
      <c r="O35" s="505">
        <v>761</v>
      </c>
      <c r="P35" s="505">
        <v>761</v>
      </c>
      <c r="Q35" s="505">
        <f>O35*2</f>
        <v>1522</v>
      </c>
      <c r="R35" s="505">
        <v>761</v>
      </c>
      <c r="S35" s="505"/>
      <c r="T35" s="595">
        <f t="shared" si="8"/>
        <v>3805</v>
      </c>
      <c r="U35" s="150"/>
      <c r="V35" s="567"/>
    </row>
    <row r="36" spans="1:22" ht="27.75" customHeight="1">
      <c r="A36" s="217" t="s">
        <v>511</v>
      </c>
      <c r="B36" s="521" t="s">
        <v>615</v>
      </c>
      <c r="C36" s="177">
        <f t="shared" si="14"/>
        <v>2280</v>
      </c>
      <c r="D36" s="565"/>
      <c r="E36" s="565"/>
      <c r="F36" s="565"/>
      <c r="G36" s="565"/>
      <c r="H36" s="565"/>
      <c r="I36" s="565"/>
      <c r="J36" s="565"/>
      <c r="K36" s="565"/>
      <c r="L36" s="565"/>
      <c r="M36" s="565"/>
      <c r="N36" s="505"/>
      <c r="O36" s="505">
        <f>760*2</f>
        <v>1520</v>
      </c>
      <c r="P36" s="177"/>
      <c r="Q36" s="505">
        <v>760</v>
      </c>
      <c r="R36" s="505"/>
      <c r="S36" s="177"/>
      <c r="T36" s="595">
        <f t="shared" si="8"/>
        <v>2280</v>
      </c>
      <c r="U36" s="150"/>
      <c r="V36" s="567"/>
    </row>
    <row r="37" spans="1:23" ht="31.5" customHeight="1">
      <c r="A37" s="217" t="s">
        <v>511</v>
      </c>
      <c r="B37" s="518" t="s">
        <v>569</v>
      </c>
      <c r="C37" s="177">
        <f>SUM(D37:S37)</f>
        <v>3287</v>
      </c>
      <c r="D37" s="565"/>
      <c r="E37" s="569"/>
      <c r="F37" s="565"/>
      <c r="G37" s="565"/>
      <c r="H37" s="565"/>
      <c r="I37" s="565"/>
      <c r="J37" s="565"/>
      <c r="K37" s="565"/>
      <c r="L37" s="565"/>
      <c r="M37" s="565"/>
      <c r="N37" s="505"/>
      <c r="O37" s="505">
        <v>1441</v>
      </c>
      <c r="P37" s="505">
        <v>970</v>
      </c>
      <c r="Q37" s="505">
        <v>545</v>
      </c>
      <c r="R37" s="505">
        <v>305</v>
      </c>
      <c r="S37" s="505">
        <v>26</v>
      </c>
      <c r="T37" s="595">
        <f t="shared" si="8"/>
        <v>3287</v>
      </c>
      <c r="U37" s="150"/>
      <c r="V37" s="567"/>
      <c r="W37" s="329"/>
    </row>
    <row r="38" spans="1:24" ht="31.5" customHeight="1">
      <c r="A38" s="217" t="s">
        <v>511</v>
      </c>
      <c r="B38" s="518" t="s">
        <v>621</v>
      </c>
      <c r="C38" s="177">
        <f>SUM(D38:S38)</f>
        <v>825</v>
      </c>
      <c r="D38" s="565"/>
      <c r="E38" s="569"/>
      <c r="F38" s="565"/>
      <c r="G38" s="565"/>
      <c r="H38" s="565"/>
      <c r="I38" s="565"/>
      <c r="J38" s="565"/>
      <c r="K38" s="565"/>
      <c r="L38" s="565"/>
      <c r="M38" s="565"/>
      <c r="N38" s="505"/>
      <c r="O38" s="505">
        <f>2*275</f>
        <v>550</v>
      </c>
      <c r="P38" s="505"/>
      <c r="Q38" s="505">
        <v>275</v>
      </c>
      <c r="R38" s="505"/>
      <c r="S38" s="505"/>
      <c r="T38" s="595">
        <f t="shared" si="8"/>
        <v>825</v>
      </c>
      <c r="U38" s="150"/>
      <c r="V38" s="567"/>
      <c r="X38" s="329"/>
    </row>
    <row r="39" spans="1:22" ht="24" customHeight="1">
      <c r="A39" s="217"/>
      <c r="B39" s="503" t="s">
        <v>536</v>
      </c>
      <c r="C39" s="177">
        <f t="shared" si="14"/>
        <v>0</v>
      </c>
      <c r="D39" s="565"/>
      <c r="E39" s="565"/>
      <c r="F39" s="565"/>
      <c r="G39" s="565"/>
      <c r="H39" s="565"/>
      <c r="I39" s="565"/>
      <c r="J39" s="565"/>
      <c r="K39" s="565"/>
      <c r="L39" s="565"/>
      <c r="M39" s="565"/>
      <c r="N39" s="505"/>
      <c r="O39" s="505"/>
      <c r="P39" s="505"/>
      <c r="Q39" s="505"/>
      <c r="R39" s="505"/>
      <c r="S39" s="505"/>
      <c r="T39" s="595">
        <f t="shared" si="8"/>
        <v>0</v>
      </c>
      <c r="U39" s="150"/>
      <c r="V39" s="567"/>
    </row>
    <row r="40" spans="1:22" ht="24" customHeight="1">
      <c r="A40" s="217"/>
      <c r="B40" s="504" t="s">
        <v>537</v>
      </c>
      <c r="C40" s="177">
        <f t="shared" si="14"/>
        <v>85621</v>
      </c>
      <c r="D40" s="565"/>
      <c r="E40" s="565"/>
      <c r="F40" s="565"/>
      <c r="G40" s="565"/>
      <c r="H40" s="565"/>
      <c r="I40" s="565"/>
      <c r="J40" s="565"/>
      <c r="K40" s="565"/>
      <c r="L40" s="565"/>
      <c r="M40" s="565"/>
      <c r="N40" s="505"/>
      <c r="O40" s="505">
        <v>39851</v>
      </c>
      <c r="P40" s="505">
        <v>22598</v>
      </c>
      <c r="Q40" s="505">
        <v>16125</v>
      </c>
      <c r="R40" s="505">
        <v>6563</v>
      </c>
      <c r="S40" s="505">
        <v>484</v>
      </c>
      <c r="T40" s="595">
        <f t="shared" si="8"/>
        <v>85621</v>
      </c>
      <c r="U40" s="150"/>
      <c r="V40" s="150"/>
    </row>
    <row r="41" spans="1:22" ht="29.25" customHeight="1">
      <c r="A41" s="240"/>
      <c r="B41" s="504" t="s">
        <v>538</v>
      </c>
      <c r="C41" s="177">
        <f t="shared" si="14"/>
        <v>4112</v>
      </c>
      <c r="D41" s="565"/>
      <c r="E41" s="565"/>
      <c r="F41" s="565"/>
      <c r="G41" s="565"/>
      <c r="H41" s="565"/>
      <c r="I41" s="565"/>
      <c r="J41" s="565"/>
      <c r="K41" s="565"/>
      <c r="L41" s="565"/>
      <c r="M41" s="565"/>
      <c r="N41" s="505"/>
      <c r="O41" s="505">
        <f>+O38+O37</f>
        <v>1991</v>
      </c>
      <c r="P41" s="505">
        <v>970</v>
      </c>
      <c r="Q41" s="505">
        <v>820</v>
      </c>
      <c r="R41" s="505">
        <v>305</v>
      </c>
      <c r="S41" s="505">
        <v>26</v>
      </c>
      <c r="T41" s="595">
        <f t="shared" si="8"/>
        <v>4112</v>
      </c>
      <c r="U41" s="567"/>
      <c r="V41" s="150"/>
    </row>
    <row r="42" spans="1:22" ht="16.5" customHeight="1">
      <c r="A42" s="240"/>
      <c r="B42" s="503" t="s">
        <v>539</v>
      </c>
      <c r="C42" s="177">
        <f t="shared" si="14"/>
        <v>0</v>
      </c>
      <c r="D42" s="565"/>
      <c r="E42" s="565"/>
      <c r="F42" s="565"/>
      <c r="G42" s="565"/>
      <c r="H42" s="565"/>
      <c r="I42" s="565"/>
      <c r="J42" s="565"/>
      <c r="K42" s="565"/>
      <c r="L42" s="565"/>
      <c r="M42" s="565"/>
      <c r="N42" s="505"/>
      <c r="O42" s="505"/>
      <c r="P42" s="505"/>
      <c r="Q42" s="505"/>
      <c r="R42" s="505"/>
      <c r="S42" s="505"/>
      <c r="T42" s="595">
        <f t="shared" si="8"/>
        <v>0</v>
      </c>
      <c r="U42" s="150"/>
      <c r="V42" s="150"/>
    </row>
    <row r="43" spans="1:23" ht="16.5" customHeight="1">
      <c r="A43" s="240"/>
      <c r="B43" s="504" t="s">
        <v>537</v>
      </c>
      <c r="C43" s="177">
        <f t="shared" si="14"/>
        <v>15000</v>
      </c>
      <c r="D43" s="565"/>
      <c r="E43" s="565"/>
      <c r="F43" s="565"/>
      <c r="G43" s="565"/>
      <c r="H43" s="565"/>
      <c r="I43" s="565"/>
      <c r="J43" s="565"/>
      <c r="K43" s="565"/>
      <c r="L43" s="565"/>
      <c r="M43" s="565"/>
      <c r="N43" s="505"/>
      <c r="O43" s="505">
        <v>10000</v>
      </c>
      <c r="P43" s="505">
        <v>2000</v>
      </c>
      <c r="Q43" s="505">
        <v>3000</v>
      </c>
      <c r="R43" s="505"/>
      <c r="S43" s="505"/>
      <c r="T43" s="595">
        <f t="shared" si="8"/>
        <v>15000</v>
      </c>
      <c r="U43" s="150"/>
      <c r="V43" s="567"/>
      <c r="W43" s="329"/>
    </row>
    <row r="44" spans="1:22" ht="51" customHeight="1">
      <c r="A44" s="214" t="s">
        <v>19</v>
      </c>
      <c r="B44" s="517" t="s">
        <v>354</v>
      </c>
      <c r="C44" s="177">
        <f>SUM(D44:S44)</f>
        <v>54066</v>
      </c>
      <c r="D44" s="565">
        <f>D45+D53+D56+D59</f>
        <v>0</v>
      </c>
      <c r="E44" s="565">
        <f aca="true" t="shared" si="15" ref="E44:S44">E45+E53+E56+E59</f>
        <v>3926</v>
      </c>
      <c r="F44" s="565">
        <f t="shared" si="15"/>
        <v>3016</v>
      </c>
      <c r="G44" s="565">
        <f t="shared" si="15"/>
        <v>0</v>
      </c>
      <c r="H44" s="565">
        <f t="shared" si="15"/>
        <v>0</v>
      </c>
      <c r="I44" s="565">
        <f t="shared" si="15"/>
        <v>0</v>
      </c>
      <c r="J44" s="565">
        <f t="shared" si="15"/>
        <v>0</v>
      </c>
      <c r="K44" s="565">
        <f t="shared" si="15"/>
        <v>11080</v>
      </c>
      <c r="L44" s="565">
        <f t="shared" si="15"/>
        <v>0</v>
      </c>
      <c r="M44" s="565">
        <f t="shared" si="15"/>
        <v>0</v>
      </c>
      <c r="N44" s="565">
        <f t="shared" si="15"/>
        <v>7000</v>
      </c>
      <c r="O44" s="565">
        <f t="shared" si="15"/>
        <v>8667</v>
      </c>
      <c r="P44" s="565">
        <f t="shared" si="15"/>
        <v>6032</v>
      </c>
      <c r="Q44" s="565">
        <f t="shared" si="15"/>
        <v>9213</v>
      </c>
      <c r="R44" s="565">
        <f t="shared" si="15"/>
        <v>4530</v>
      </c>
      <c r="S44" s="565">
        <f t="shared" si="15"/>
        <v>602</v>
      </c>
      <c r="T44" s="595">
        <f t="shared" si="8"/>
        <v>29044</v>
      </c>
      <c r="U44" s="567">
        <f>+T44+N44+K44+F44+E44</f>
        <v>54066</v>
      </c>
      <c r="V44" s="150"/>
    </row>
    <row r="45" spans="1:22" ht="73.5" customHeight="1">
      <c r="A45" s="217">
        <v>1</v>
      </c>
      <c r="B45" s="518" t="s">
        <v>518</v>
      </c>
      <c r="C45" s="177">
        <f>SUM(D45:S45)</f>
        <v>34798</v>
      </c>
      <c r="D45" s="569">
        <f>D46+D47</f>
        <v>0</v>
      </c>
      <c r="E45" s="569">
        <f aca="true" t="shared" si="16" ref="E45:S45">E46+E47</f>
        <v>0</v>
      </c>
      <c r="F45" s="569">
        <f t="shared" si="16"/>
        <v>3016</v>
      </c>
      <c r="G45" s="569">
        <f t="shared" si="16"/>
        <v>0</v>
      </c>
      <c r="H45" s="569">
        <f t="shared" si="16"/>
        <v>0</v>
      </c>
      <c r="I45" s="569">
        <f t="shared" si="16"/>
        <v>0</v>
      </c>
      <c r="J45" s="569">
        <f t="shared" si="16"/>
        <v>0</v>
      </c>
      <c r="K45" s="569">
        <f t="shared" si="16"/>
        <v>0</v>
      </c>
      <c r="L45" s="569">
        <f t="shared" si="16"/>
        <v>0</v>
      </c>
      <c r="M45" s="569">
        <f t="shared" si="16"/>
        <v>0</v>
      </c>
      <c r="N45" s="569">
        <f t="shared" si="16"/>
        <v>7000</v>
      </c>
      <c r="O45" s="569">
        <f t="shared" si="16"/>
        <v>7567</v>
      </c>
      <c r="P45" s="569">
        <f t="shared" si="16"/>
        <v>5000</v>
      </c>
      <c r="Q45" s="569">
        <f t="shared" si="16"/>
        <v>8479</v>
      </c>
      <c r="R45" s="569">
        <f t="shared" si="16"/>
        <v>3736</v>
      </c>
      <c r="S45" s="569">
        <f t="shared" si="16"/>
        <v>0</v>
      </c>
      <c r="T45" s="595">
        <f t="shared" si="8"/>
        <v>24782</v>
      </c>
      <c r="U45" s="567">
        <f aca="true" t="shared" si="17" ref="U45:U55">+T45+N45+F45</f>
        <v>34798</v>
      </c>
      <c r="V45" s="150"/>
    </row>
    <row r="46" spans="1:22" ht="30" customHeight="1">
      <c r="A46" s="217" t="s">
        <v>511</v>
      </c>
      <c r="B46" s="518" t="s">
        <v>598</v>
      </c>
      <c r="C46" s="177">
        <f aca="true" t="shared" si="18" ref="C46:C61">SUM(D46:S46)</f>
        <v>30715</v>
      </c>
      <c r="D46" s="565"/>
      <c r="E46" s="565"/>
      <c r="F46" s="565"/>
      <c r="G46" s="565"/>
      <c r="H46" s="565"/>
      <c r="I46" s="565"/>
      <c r="J46" s="565"/>
      <c r="K46" s="565"/>
      <c r="L46" s="565"/>
      <c r="M46" s="565"/>
      <c r="N46" s="505">
        <f aca="true" t="shared" si="19" ref="N46:S46">N49+N52</f>
        <v>7000</v>
      </c>
      <c r="O46" s="505">
        <f t="shared" si="19"/>
        <v>6500</v>
      </c>
      <c r="P46" s="505">
        <f t="shared" si="19"/>
        <v>5000</v>
      </c>
      <c r="Q46" s="505">
        <f t="shared" si="19"/>
        <v>8479</v>
      </c>
      <c r="R46" s="505">
        <f t="shared" si="19"/>
        <v>3736</v>
      </c>
      <c r="S46" s="505">
        <f t="shared" si="19"/>
        <v>0</v>
      </c>
      <c r="T46" s="595">
        <f t="shared" si="8"/>
        <v>23715</v>
      </c>
      <c r="U46" s="567">
        <f t="shared" si="17"/>
        <v>30715</v>
      </c>
      <c r="V46" s="150"/>
    </row>
    <row r="47" spans="1:22" ht="33" customHeight="1">
      <c r="A47" s="217" t="s">
        <v>511</v>
      </c>
      <c r="B47" s="518" t="s">
        <v>547</v>
      </c>
      <c r="C47" s="177">
        <f t="shared" si="18"/>
        <v>4083</v>
      </c>
      <c r="D47" s="565"/>
      <c r="E47" s="565"/>
      <c r="F47" s="569">
        <f>F50</f>
        <v>3016</v>
      </c>
      <c r="G47" s="565"/>
      <c r="H47" s="565"/>
      <c r="I47" s="565"/>
      <c r="J47" s="565"/>
      <c r="K47" s="565"/>
      <c r="L47" s="565"/>
      <c r="M47" s="565"/>
      <c r="N47" s="505"/>
      <c r="O47" s="505">
        <f>O50</f>
        <v>1067</v>
      </c>
      <c r="P47" s="505"/>
      <c r="Q47" s="505"/>
      <c r="R47" s="505"/>
      <c r="S47" s="505"/>
      <c r="T47" s="595">
        <f t="shared" si="8"/>
        <v>1067</v>
      </c>
      <c r="U47" s="567">
        <f t="shared" si="17"/>
        <v>4083</v>
      </c>
      <c r="V47" s="150"/>
    </row>
    <row r="48" spans="1:22" ht="21.75" customHeight="1">
      <c r="A48" s="217"/>
      <c r="B48" s="503" t="s">
        <v>536</v>
      </c>
      <c r="C48" s="177">
        <f t="shared" si="18"/>
        <v>0</v>
      </c>
      <c r="D48" s="565"/>
      <c r="E48" s="565"/>
      <c r="F48" s="565"/>
      <c r="G48" s="565"/>
      <c r="H48" s="565"/>
      <c r="I48" s="565"/>
      <c r="J48" s="565"/>
      <c r="K48" s="565"/>
      <c r="L48" s="565"/>
      <c r="M48" s="565"/>
      <c r="N48" s="505"/>
      <c r="O48" s="505"/>
      <c r="P48" s="505"/>
      <c r="Q48" s="505"/>
      <c r="R48" s="505"/>
      <c r="S48" s="505"/>
      <c r="T48" s="595">
        <f t="shared" si="8"/>
        <v>0</v>
      </c>
      <c r="U48" s="567">
        <f t="shared" si="17"/>
        <v>0</v>
      </c>
      <c r="V48" s="150"/>
    </row>
    <row r="49" spans="1:21" s="150" customFormat="1" ht="23.25" customHeight="1">
      <c r="A49" s="217"/>
      <c r="B49" s="504" t="s">
        <v>537</v>
      </c>
      <c r="C49" s="177">
        <f t="shared" si="18"/>
        <v>16979</v>
      </c>
      <c r="D49" s="565"/>
      <c r="E49" s="565"/>
      <c r="F49" s="565"/>
      <c r="G49" s="565"/>
      <c r="H49" s="565"/>
      <c r="I49" s="565"/>
      <c r="J49" s="565"/>
      <c r="K49" s="565"/>
      <c r="L49" s="565"/>
      <c r="M49" s="565"/>
      <c r="N49" s="505">
        <v>4000</v>
      </c>
      <c r="O49" s="505">
        <v>3500</v>
      </c>
      <c r="P49" s="505">
        <v>3000</v>
      </c>
      <c r="Q49" s="505">
        <v>4479</v>
      </c>
      <c r="R49" s="505">
        <v>2000</v>
      </c>
      <c r="S49" s="505"/>
      <c r="T49" s="595">
        <f t="shared" si="8"/>
        <v>12979</v>
      </c>
      <c r="U49" s="567">
        <f t="shared" si="17"/>
        <v>16979</v>
      </c>
    </row>
    <row r="50" spans="1:22" ht="31.5" customHeight="1">
      <c r="A50" s="217"/>
      <c r="B50" s="504" t="s">
        <v>538</v>
      </c>
      <c r="C50" s="177">
        <f t="shared" si="18"/>
        <v>4083</v>
      </c>
      <c r="D50" s="565"/>
      <c r="E50" s="565"/>
      <c r="F50" s="569">
        <v>3016</v>
      </c>
      <c r="G50" s="569"/>
      <c r="H50" s="569"/>
      <c r="I50" s="569"/>
      <c r="J50" s="569"/>
      <c r="K50" s="565"/>
      <c r="L50" s="565"/>
      <c r="M50" s="565"/>
      <c r="N50" s="505"/>
      <c r="O50" s="505">
        <v>1067</v>
      </c>
      <c r="P50" s="505"/>
      <c r="Q50" s="505"/>
      <c r="R50" s="505"/>
      <c r="S50" s="505"/>
      <c r="T50" s="595">
        <f t="shared" si="8"/>
        <v>1067</v>
      </c>
      <c r="U50" s="567">
        <f t="shared" si="17"/>
        <v>4083</v>
      </c>
      <c r="V50" s="150"/>
    </row>
    <row r="51" spans="1:22" ht="24.75" customHeight="1">
      <c r="A51" s="217"/>
      <c r="B51" s="503" t="s">
        <v>539</v>
      </c>
      <c r="C51" s="177">
        <f t="shared" si="18"/>
        <v>0</v>
      </c>
      <c r="D51" s="565"/>
      <c r="E51" s="565"/>
      <c r="F51" s="565"/>
      <c r="G51" s="565"/>
      <c r="H51" s="565"/>
      <c r="I51" s="565"/>
      <c r="J51" s="565"/>
      <c r="K51" s="565"/>
      <c r="L51" s="565"/>
      <c r="M51" s="565"/>
      <c r="N51" s="505"/>
      <c r="O51" s="505"/>
      <c r="P51" s="505"/>
      <c r="Q51" s="505"/>
      <c r="R51" s="505"/>
      <c r="S51" s="505"/>
      <c r="T51" s="595">
        <f t="shared" si="8"/>
        <v>0</v>
      </c>
      <c r="U51" s="567">
        <f t="shared" si="17"/>
        <v>0</v>
      </c>
      <c r="V51" s="150"/>
    </row>
    <row r="52" spans="1:23" ht="24.75" customHeight="1">
      <c r="A52" s="217"/>
      <c r="B52" s="504" t="s">
        <v>537</v>
      </c>
      <c r="C52" s="177">
        <f>SUM(D52:S52)</f>
        <v>13736</v>
      </c>
      <c r="D52" s="565"/>
      <c r="E52" s="565"/>
      <c r="F52" s="565"/>
      <c r="G52" s="565"/>
      <c r="H52" s="565"/>
      <c r="I52" s="565"/>
      <c r="J52" s="565"/>
      <c r="K52" s="565"/>
      <c r="L52" s="565"/>
      <c r="M52" s="565"/>
      <c r="N52" s="505">
        <v>3000</v>
      </c>
      <c r="O52" s="505">
        <v>3000</v>
      </c>
      <c r="P52" s="505">
        <v>2000</v>
      </c>
      <c r="Q52" s="505">
        <v>4000</v>
      </c>
      <c r="R52" s="505">
        <v>1736</v>
      </c>
      <c r="S52" s="505"/>
      <c r="T52" s="595">
        <f t="shared" si="8"/>
        <v>10736</v>
      </c>
      <c r="U52" s="567">
        <f t="shared" si="17"/>
        <v>13736</v>
      </c>
      <c r="V52" s="150"/>
      <c r="W52" s="329"/>
    </row>
    <row r="53" spans="1:22" ht="101.25" customHeight="1">
      <c r="A53" s="217">
        <v>2</v>
      </c>
      <c r="B53" s="518" t="s">
        <v>356</v>
      </c>
      <c r="C53" s="177">
        <f t="shared" si="18"/>
        <v>2913</v>
      </c>
      <c r="D53" s="569">
        <f>D55</f>
        <v>0</v>
      </c>
      <c r="E53" s="569">
        <f aca="true" t="shared" si="20" ref="E53:S53">E55</f>
        <v>1660</v>
      </c>
      <c r="F53" s="569">
        <f t="shared" si="20"/>
        <v>0</v>
      </c>
      <c r="G53" s="569">
        <f t="shared" si="20"/>
        <v>0</v>
      </c>
      <c r="H53" s="569">
        <f t="shared" si="20"/>
        <v>0</v>
      </c>
      <c r="I53" s="569">
        <f t="shared" si="20"/>
        <v>0</v>
      </c>
      <c r="J53" s="569">
        <f t="shared" si="20"/>
        <v>0</v>
      </c>
      <c r="K53" s="569">
        <f t="shared" si="20"/>
        <v>0</v>
      </c>
      <c r="L53" s="569">
        <f t="shared" si="20"/>
        <v>0</v>
      </c>
      <c r="M53" s="569">
        <f t="shared" si="20"/>
        <v>0</v>
      </c>
      <c r="N53" s="569">
        <f t="shared" si="20"/>
        <v>0</v>
      </c>
      <c r="O53" s="569">
        <f t="shared" si="20"/>
        <v>471</v>
      </c>
      <c r="P53" s="569">
        <f t="shared" si="20"/>
        <v>347</v>
      </c>
      <c r="Q53" s="569">
        <f t="shared" si="20"/>
        <v>174</v>
      </c>
      <c r="R53" s="569">
        <f t="shared" si="20"/>
        <v>174</v>
      </c>
      <c r="S53" s="569">
        <f t="shared" si="20"/>
        <v>87</v>
      </c>
      <c r="T53" s="595">
        <f t="shared" si="8"/>
        <v>1253</v>
      </c>
      <c r="U53" s="567">
        <f t="shared" si="17"/>
        <v>1253</v>
      </c>
      <c r="V53" s="150"/>
    </row>
    <row r="54" spans="1:22" ht="21.75" customHeight="1">
      <c r="A54" s="217"/>
      <c r="B54" s="503" t="s">
        <v>536</v>
      </c>
      <c r="C54" s="177">
        <f t="shared" si="18"/>
        <v>0</v>
      </c>
      <c r="D54" s="565"/>
      <c r="E54" s="565"/>
      <c r="F54" s="565"/>
      <c r="G54" s="565"/>
      <c r="H54" s="565"/>
      <c r="I54" s="565"/>
      <c r="J54" s="565"/>
      <c r="K54" s="565"/>
      <c r="L54" s="565"/>
      <c r="M54" s="565"/>
      <c r="N54" s="505"/>
      <c r="O54" s="505"/>
      <c r="P54" s="505"/>
      <c r="Q54" s="505"/>
      <c r="R54" s="505"/>
      <c r="S54" s="505"/>
      <c r="T54" s="595">
        <f t="shared" si="8"/>
        <v>0</v>
      </c>
      <c r="U54" s="567">
        <f t="shared" si="17"/>
        <v>0</v>
      </c>
      <c r="V54" s="150"/>
    </row>
    <row r="55" spans="1:22" ht="29.25" customHeight="1">
      <c r="A55" s="217"/>
      <c r="B55" s="504" t="s">
        <v>538</v>
      </c>
      <c r="C55" s="177">
        <f t="shared" si="18"/>
        <v>2913</v>
      </c>
      <c r="D55" s="565"/>
      <c r="E55" s="565">
        <v>1660</v>
      </c>
      <c r="F55" s="565"/>
      <c r="G55" s="565"/>
      <c r="H55" s="565"/>
      <c r="I55" s="565"/>
      <c r="J55" s="565"/>
      <c r="K55" s="565"/>
      <c r="L55" s="565"/>
      <c r="M55" s="565"/>
      <c r="N55" s="505"/>
      <c r="O55" s="505">
        <v>471</v>
      </c>
      <c r="P55" s="505">
        <v>347</v>
      </c>
      <c r="Q55" s="505">
        <v>174</v>
      </c>
      <c r="R55" s="505">
        <v>174</v>
      </c>
      <c r="S55" s="505">
        <v>87</v>
      </c>
      <c r="T55" s="595">
        <f t="shared" si="8"/>
        <v>1253</v>
      </c>
      <c r="U55" s="567">
        <f t="shared" si="17"/>
        <v>1253</v>
      </c>
      <c r="V55" s="150"/>
    </row>
    <row r="56" spans="1:22" ht="65.25" customHeight="1">
      <c r="A56" s="217">
        <v>3</v>
      </c>
      <c r="B56" s="518" t="s">
        <v>520</v>
      </c>
      <c r="C56" s="177">
        <f>SUM(D56:S56)</f>
        <v>14089</v>
      </c>
      <c r="D56" s="565">
        <f>D58</f>
        <v>0</v>
      </c>
      <c r="E56" s="565">
        <f aca="true" t="shared" si="21" ref="E56:N58">E58</f>
        <v>0</v>
      </c>
      <c r="F56" s="565"/>
      <c r="G56" s="565">
        <f t="shared" si="21"/>
        <v>0</v>
      </c>
      <c r="H56" s="565">
        <f t="shared" si="21"/>
        <v>0</v>
      </c>
      <c r="I56" s="565">
        <f t="shared" si="21"/>
        <v>0</v>
      </c>
      <c r="J56" s="565">
        <f t="shared" si="21"/>
        <v>0</v>
      </c>
      <c r="K56" s="565">
        <f>180+900+10000</f>
        <v>11080</v>
      </c>
      <c r="L56" s="565">
        <f t="shared" si="21"/>
        <v>0</v>
      </c>
      <c r="M56" s="565">
        <f t="shared" si="21"/>
        <v>0</v>
      </c>
      <c r="N56" s="565">
        <f t="shared" si="21"/>
        <v>0</v>
      </c>
      <c r="O56" s="565">
        <f>85+544</f>
        <v>629</v>
      </c>
      <c r="P56" s="565">
        <f>135+550</f>
        <v>685</v>
      </c>
      <c r="Q56" s="565">
        <f>60+500</f>
        <v>560</v>
      </c>
      <c r="R56" s="565">
        <f>70+550</f>
        <v>620</v>
      </c>
      <c r="S56" s="565">
        <f>15+500</f>
        <v>515</v>
      </c>
      <c r="T56" s="595">
        <f t="shared" si="8"/>
        <v>3009</v>
      </c>
      <c r="U56" s="567">
        <f aca="true" t="shared" si="22" ref="U56:U61">+T56+K56+F56</f>
        <v>14089</v>
      </c>
      <c r="V56" s="150"/>
    </row>
    <row r="57" spans="1:22" ht="27.75" customHeight="1">
      <c r="A57" s="217"/>
      <c r="B57" s="503" t="s">
        <v>536</v>
      </c>
      <c r="C57" s="177">
        <f t="shared" si="18"/>
        <v>0</v>
      </c>
      <c r="D57" s="565"/>
      <c r="E57" s="565"/>
      <c r="F57" s="565"/>
      <c r="G57" s="565"/>
      <c r="H57" s="565"/>
      <c r="I57" s="565"/>
      <c r="J57" s="565"/>
      <c r="K57" s="565"/>
      <c r="L57" s="565"/>
      <c r="M57" s="565"/>
      <c r="N57" s="505"/>
      <c r="O57" s="505"/>
      <c r="P57" s="505"/>
      <c r="Q57" s="505"/>
      <c r="R57" s="505"/>
      <c r="S57" s="505"/>
      <c r="T57" s="595">
        <f t="shared" si="8"/>
        <v>0</v>
      </c>
      <c r="U57" s="567">
        <f t="shared" si="22"/>
        <v>0</v>
      </c>
      <c r="V57" s="150"/>
    </row>
    <row r="58" spans="1:22" ht="31.5" customHeight="1">
      <c r="A58" s="217"/>
      <c r="B58" s="504" t="s">
        <v>538</v>
      </c>
      <c r="C58" s="177">
        <f>SUM(D58:S58)</f>
        <v>14089</v>
      </c>
      <c r="D58" s="565"/>
      <c r="E58" s="565"/>
      <c r="F58" s="565"/>
      <c r="G58" s="565">
        <f t="shared" si="21"/>
        <v>0</v>
      </c>
      <c r="H58" s="565">
        <f t="shared" si="21"/>
        <v>0</v>
      </c>
      <c r="I58" s="565">
        <f t="shared" si="21"/>
        <v>0</v>
      </c>
      <c r="J58" s="565">
        <f t="shared" si="21"/>
        <v>0</v>
      </c>
      <c r="K58" s="565">
        <f>180+900+10000</f>
        <v>11080</v>
      </c>
      <c r="L58" s="565">
        <f t="shared" si="21"/>
        <v>0</v>
      </c>
      <c r="M58" s="565">
        <f t="shared" si="21"/>
        <v>0</v>
      </c>
      <c r="N58" s="565">
        <f t="shared" si="21"/>
        <v>0</v>
      </c>
      <c r="O58" s="565">
        <f>85+544</f>
        <v>629</v>
      </c>
      <c r="P58" s="565">
        <f>135+550</f>
        <v>685</v>
      </c>
      <c r="Q58" s="565">
        <f>60+500</f>
        <v>560</v>
      </c>
      <c r="R58" s="565">
        <f>70+550</f>
        <v>620</v>
      </c>
      <c r="S58" s="565">
        <f>15+500</f>
        <v>515</v>
      </c>
      <c r="T58" s="595">
        <f t="shared" si="8"/>
        <v>3009</v>
      </c>
      <c r="U58" s="567">
        <f t="shared" si="22"/>
        <v>14089</v>
      </c>
      <c r="V58" s="150"/>
    </row>
    <row r="59" spans="1:22" ht="45.75" customHeight="1">
      <c r="A59" s="217">
        <v>4</v>
      </c>
      <c r="B59" s="518" t="s">
        <v>521</v>
      </c>
      <c r="C59" s="177">
        <f t="shared" si="18"/>
        <v>2266</v>
      </c>
      <c r="D59" s="569">
        <f>D61</f>
        <v>0</v>
      </c>
      <c r="E59" s="569">
        <f aca="true" t="shared" si="23" ref="E59:S59">E61</f>
        <v>2266</v>
      </c>
      <c r="F59" s="569">
        <f t="shared" si="23"/>
        <v>0</v>
      </c>
      <c r="G59" s="569">
        <f t="shared" si="23"/>
        <v>0</v>
      </c>
      <c r="H59" s="569">
        <f t="shared" si="23"/>
        <v>0</v>
      </c>
      <c r="I59" s="569">
        <f t="shared" si="23"/>
        <v>0</v>
      </c>
      <c r="J59" s="569">
        <f t="shared" si="23"/>
        <v>0</v>
      </c>
      <c r="K59" s="569">
        <f t="shared" si="23"/>
        <v>0</v>
      </c>
      <c r="L59" s="569">
        <f t="shared" si="23"/>
        <v>0</v>
      </c>
      <c r="M59" s="569">
        <f t="shared" si="23"/>
        <v>0</v>
      </c>
      <c r="N59" s="569">
        <f t="shared" si="23"/>
        <v>0</v>
      </c>
      <c r="O59" s="569">
        <f t="shared" si="23"/>
        <v>0</v>
      </c>
      <c r="P59" s="569">
        <f t="shared" si="23"/>
        <v>0</v>
      </c>
      <c r="Q59" s="569">
        <f t="shared" si="23"/>
        <v>0</v>
      </c>
      <c r="R59" s="569">
        <f t="shared" si="23"/>
        <v>0</v>
      </c>
      <c r="S59" s="569">
        <f t="shared" si="23"/>
        <v>0</v>
      </c>
      <c r="T59" s="595">
        <f t="shared" si="8"/>
        <v>0</v>
      </c>
      <c r="U59" s="567">
        <f t="shared" si="22"/>
        <v>0</v>
      </c>
      <c r="V59" s="150"/>
    </row>
    <row r="60" spans="1:22" ht="16.5" customHeight="1">
      <c r="A60" s="240"/>
      <c r="B60" s="503" t="s">
        <v>536</v>
      </c>
      <c r="C60" s="177">
        <f t="shared" si="18"/>
        <v>0</v>
      </c>
      <c r="D60" s="565"/>
      <c r="E60" s="565"/>
      <c r="F60" s="565"/>
      <c r="G60" s="565"/>
      <c r="H60" s="565"/>
      <c r="I60" s="565"/>
      <c r="J60" s="565"/>
      <c r="K60" s="565"/>
      <c r="L60" s="565"/>
      <c r="M60" s="565"/>
      <c r="N60" s="505"/>
      <c r="O60" s="505"/>
      <c r="P60" s="505"/>
      <c r="Q60" s="505"/>
      <c r="R60" s="505"/>
      <c r="S60" s="505"/>
      <c r="T60" s="595">
        <f t="shared" si="8"/>
        <v>0</v>
      </c>
      <c r="U60" s="567">
        <f t="shared" si="22"/>
        <v>0</v>
      </c>
      <c r="V60" s="150"/>
    </row>
    <row r="61" spans="1:22" ht="27" customHeight="1">
      <c r="A61" s="240"/>
      <c r="B61" s="504" t="s">
        <v>538</v>
      </c>
      <c r="C61" s="177">
        <f t="shared" si="18"/>
        <v>2266</v>
      </c>
      <c r="D61" s="565"/>
      <c r="E61" s="569">
        <v>2266</v>
      </c>
      <c r="F61" s="565"/>
      <c r="G61" s="565"/>
      <c r="H61" s="565"/>
      <c r="I61" s="565"/>
      <c r="J61" s="565"/>
      <c r="K61" s="565"/>
      <c r="L61" s="565"/>
      <c r="M61" s="565"/>
      <c r="N61" s="505"/>
      <c r="O61" s="505"/>
      <c r="P61" s="505"/>
      <c r="Q61" s="505"/>
      <c r="R61" s="505"/>
      <c r="S61" s="505"/>
      <c r="T61" s="595">
        <f t="shared" si="8"/>
        <v>0</v>
      </c>
      <c r="U61" s="567">
        <f t="shared" si="22"/>
        <v>0</v>
      </c>
      <c r="V61" s="150"/>
    </row>
    <row r="62" spans="1:22" ht="53.25" customHeight="1">
      <c r="A62" s="214" t="s">
        <v>35</v>
      </c>
      <c r="B62" s="517" t="s">
        <v>522</v>
      </c>
      <c r="C62" s="177">
        <f>SUM(D62:S62)</f>
        <v>8871</v>
      </c>
      <c r="D62" s="565">
        <f>SUM(D63:D65)</f>
        <v>0</v>
      </c>
      <c r="E62" s="565">
        <f aca="true" t="shared" si="24" ref="E62:R62">SUM(E63:E65)</f>
        <v>0</v>
      </c>
      <c r="F62" s="565">
        <f t="shared" si="24"/>
        <v>0</v>
      </c>
      <c r="G62" s="565"/>
      <c r="H62" s="565">
        <f t="shared" si="24"/>
        <v>999</v>
      </c>
      <c r="I62" s="565">
        <f t="shared" si="24"/>
        <v>0</v>
      </c>
      <c r="J62" s="565">
        <f t="shared" si="24"/>
        <v>0</v>
      </c>
      <c r="K62" s="565">
        <f t="shared" si="24"/>
        <v>0</v>
      </c>
      <c r="L62" s="565">
        <f t="shared" si="24"/>
        <v>0</v>
      </c>
      <c r="M62" s="565">
        <f t="shared" si="24"/>
        <v>0</v>
      </c>
      <c r="N62" s="565">
        <f t="shared" si="24"/>
        <v>0</v>
      </c>
      <c r="O62" s="565">
        <f t="shared" si="24"/>
        <v>963</v>
      </c>
      <c r="P62" s="565">
        <f t="shared" si="24"/>
        <v>418</v>
      </c>
      <c r="Q62" s="565">
        <f t="shared" si="24"/>
        <v>131</v>
      </c>
      <c r="R62" s="565">
        <f t="shared" si="24"/>
        <v>6360</v>
      </c>
      <c r="S62" s="565"/>
      <c r="T62" s="595">
        <f t="shared" si="8"/>
        <v>7872</v>
      </c>
      <c r="U62" s="567">
        <f aca="true" t="shared" si="25" ref="U62:U68">+T62+H62</f>
        <v>8871</v>
      </c>
      <c r="V62" s="150"/>
    </row>
    <row r="63" spans="1:22" ht="21" customHeight="1">
      <c r="A63" s="214"/>
      <c r="B63" s="503" t="s">
        <v>536</v>
      </c>
      <c r="C63" s="177">
        <f>SUM(D63:S63)</f>
        <v>0</v>
      </c>
      <c r="D63" s="565"/>
      <c r="E63" s="565"/>
      <c r="F63" s="565"/>
      <c r="G63" s="565"/>
      <c r="H63" s="565"/>
      <c r="I63" s="565"/>
      <c r="J63" s="565"/>
      <c r="K63" s="565"/>
      <c r="L63" s="565"/>
      <c r="M63" s="565"/>
      <c r="N63" s="505"/>
      <c r="O63" s="505"/>
      <c r="P63" s="505"/>
      <c r="Q63" s="505"/>
      <c r="R63" s="505"/>
      <c r="S63" s="505"/>
      <c r="T63" s="595">
        <f t="shared" si="8"/>
        <v>0</v>
      </c>
      <c r="U63" s="567">
        <f t="shared" si="25"/>
        <v>0</v>
      </c>
      <c r="V63" s="150"/>
    </row>
    <row r="64" spans="1:22" ht="22.5" customHeight="1">
      <c r="A64" s="214"/>
      <c r="B64" s="504" t="s">
        <v>537</v>
      </c>
      <c r="C64" s="177">
        <f>SUM(D64:S64)</f>
        <v>6229</v>
      </c>
      <c r="D64" s="565"/>
      <c r="E64" s="565"/>
      <c r="F64" s="565"/>
      <c r="G64" s="565"/>
      <c r="H64" s="565"/>
      <c r="I64" s="565"/>
      <c r="J64" s="565"/>
      <c r="K64" s="565"/>
      <c r="L64" s="565"/>
      <c r="M64" s="565"/>
      <c r="N64" s="505"/>
      <c r="O64" s="505"/>
      <c r="P64" s="505"/>
      <c r="Q64" s="505"/>
      <c r="R64" s="505">
        <v>6229</v>
      </c>
      <c r="S64" s="505"/>
      <c r="T64" s="595">
        <f t="shared" si="8"/>
        <v>6229</v>
      </c>
      <c r="U64" s="567">
        <f t="shared" si="25"/>
        <v>6229</v>
      </c>
      <c r="V64" s="150"/>
    </row>
    <row r="65" spans="1:22" ht="21.75" customHeight="1">
      <c r="A65" s="214"/>
      <c r="B65" s="504" t="s">
        <v>538</v>
      </c>
      <c r="C65" s="177">
        <f>SUM(D65:S65)</f>
        <v>2642</v>
      </c>
      <c r="D65" s="565"/>
      <c r="E65" s="565"/>
      <c r="F65" s="565"/>
      <c r="G65" s="565"/>
      <c r="H65" s="569">
        <v>999</v>
      </c>
      <c r="I65" s="569"/>
      <c r="J65" s="569"/>
      <c r="K65" s="565"/>
      <c r="L65" s="565"/>
      <c r="M65" s="565"/>
      <c r="N65" s="505"/>
      <c r="O65" s="505">
        <v>963</v>
      </c>
      <c r="P65" s="505">
        <v>418</v>
      </c>
      <c r="Q65" s="505">
        <v>131</v>
      </c>
      <c r="R65" s="505">
        <v>131</v>
      </c>
      <c r="S65" s="505"/>
      <c r="T65" s="595">
        <f t="shared" si="8"/>
        <v>1643</v>
      </c>
      <c r="U65" s="567">
        <f t="shared" si="25"/>
        <v>2642</v>
      </c>
      <c r="V65" s="150"/>
    </row>
    <row r="66" spans="1:22" ht="55.5" customHeight="1">
      <c r="A66" s="214" t="s">
        <v>36</v>
      </c>
      <c r="B66" s="517" t="s">
        <v>523</v>
      </c>
      <c r="C66" s="177">
        <f aca="true" t="shared" si="26" ref="C66:C76">SUM(D66:S66)</f>
        <v>1883</v>
      </c>
      <c r="D66" s="565">
        <f>SUM(D67:D68)</f>
        <v>0</v>
      </c>
      <c r="E66" s="565">
        <f aca="true" t="shared" si="27" ref="E66:S66">SUM(E67:E68)</f>
        <v>0</v>
      </c>
      <c r="F66" s="565">
        <f t="shared" si="27"/>
        <v>0</v>
      </c>
      <c r="G66" s="565"/>
      <c r="H66" s="565">
        <f t="shared" si="27"/>
        <v>0</v>
      </c>
      <c r="I66" s="565">
        <f t="shared" si="27"/>
        <v>0</v>
      </c>
      <c r="J66" s="565">
        <f t="shared" si="27"/>
        <v>0</v>
      </c>
      <c r="K66" s="565">
        <f t="shared" si="27"/>
        <v>0</v>
      </c>
      <c r="L66" s="565">
        <f t="shared" si="27"/>
        <v>0</v>
      </c>
      <c r="M66" s="565">
        <f t="shared" si="27"/>
        <v>0</v>
      </c>
      <c r="N66" s="565">
        <f t="shared" si="27"/>
        <v>0</v>
      </c>
      <c r="O66" s="565">
        <f t="shared" si="27"/>
        <v>684</v>
      </c>
      <c r="P66" s="565">
        <f t="shared" si="27"/>
        <v>620</v>
      </c>
      <c r="Q66" s="565">
        <f t="shared" si="27"/>
        <v>283</v>
      </c>
      <c r="R66" s="565">
        <f t="shared" si="27"/>
        <v>258</v>
      </c>
      <c r="S66" s="565">
        <f t="shared" si="27"/>
        <v>38</v>
      </c>
      <c r="T66" s="595">
        <f t="shared" si="8"/>
        <v>1883</v>
      </c>
      <c r="U66" s="567">
        <f t="shared" si="25"/>
        <v>1883</v>
      </c>
      <c r="V66" s="567"/>
    </row>
    <row r="67" spans="1:22" ht="28.5" customHeight="1">
      <c r="A67" s="214"/>
      <c r="B67" s="503" t="s">
        <v>536</v>
      </c>
      <c r="C67" s="177">
        <f t="shared" si="26"/>
        <v>0</v>
      </c>
      <c r="D67" s="565"/>
      <c r="E67" s="565"/>
      <c r="F67" s="565"/>
      <c r="G67" s="565"/>
      <c r="H67" s="565"/>
      <c r="I67" s="565"/>
      <c r="J67" s="565"/>
      <c r="K67" s="565"/>
      <c r="L67" s="565"/>
      <c r="M67" s="565"/>
      <c r="N67" s="505"/>
      <c r="O67" s="505"/>
      <c r="P67" s="505"/>
      <c r="Q67" s="505"/>
      <c r="R67" s="505"/>
      <c r="S67" s="505"/>
      <c r="T67" s="595">
        <f t="shared" si="8"/>
        <v>0</v>
      </c>
      <c r="U67" s="567">
        <f t="shared" si="25"/>
        <v>0</v>
      </c>
      <c r="V67" s="150"/>
    </row>
    <row r="68" spans="1:22" ht="26.25" customHeight="1">
      <c r="A68" s="214"/>
      <c r="B68" s="504" t="s">
        <v>538</v>
      </c>
      <c r="C68" s="177">
        <f t="shared" si="26"/>
        <v>1883</v>
      </c>
      <c r="D68" s="565"/>
      <c r="E68" s="565"/>
      <c r="F68" s="565"/>
      <c r="G68" s="565"/>
      <c r="H68" s="565"/>
      <c r="I68" s="565"/>
      <c r="J68" s="565"/>
      <c r="K68" s="565"/>
      <c r="L68" s="565"/>
      <c r="M68" s="565"/>
      <c r="N68" s="505"/>
      <c r="O68" s="505">
        <v>684</v>
      </c>
      <c r="P68" s="505">
        <v>620</v>
      </c>
      <c r="Q68" s="505">
        <v>283</v>
      </c>
      <c r="R68" s="505">
        <v>258</v>
      </c>
      <c r="S68" s="505">
        <v>38</v>
      </c>
      <c r="T68" s="595">
        <f t="shared" si="8"/>
        <v>1883</v>
      </c>
      <c r="U68" s="567">
        <f t="shared" si="25"/>
        <v>1883</v>
      </c>
      <c r="V68" s="150"/>
    </row>
    <row r="69" spans="1:22" ht="45.75" customHeight="1">
      <c r="A69" s="214" t="s">
        <v>524</v>
      </c>
      <c r="B69" s="517" t="s">
        <v>525</v>
      </c>
      <c r="C69" s="177">
        <f t="shared" si="26"/>
        <v>4107</v>
      </c>
      <c r="D69" s="565">
        <f>SUM(D70:D71)</f>
        <v>0</v>
      </c>
      <c r="E69" s="565">
        <f aca="true" t="shared" si="28" ref="E69:S69">SUM(E70:E71)</f>
        <v>0</v>
      </c>
      <c r="F69" s="565">
        <f t="shared" si="28"/>
        <v>0</v>
      </c>
      <c r="G69" s="565"/>
      <c r="H69" s="565">
        <f t="shared" si="28"/>
        <v>0</v>
      </c>
      <c r="I69" s="565">
        <f t="shared" si="28"/>
        <v>1175</v>
      </c>
      <c r="J69" s="565">
        <f t="shared" si="28"/>
        <v>0</v>
      </c>
      <c r="K69" s="565">
        <f t="shared" si="28"/>
        <v>0</v>
      </c>
      <c r="L69" s="565">
        <f t="shared" si="28"/>
        <v>0</v>
      </c>
      <c r="M69" s="565">
        <f t="shared" si="28"/>
        <v>0</v>
      </c>
      <c r="N69" s="565">
        <f t="shared" si="28"/>
        <v>0</v>
      </c>
      <c r="O69" s="565">
        <f t="shared" si="28"/>
        <v>1218</v>
      </c>
      <c r="P69" s="565">
        <f t="shared" si="28"/>
        <v>857</v>
      </c>
      <c r="Q69" s="565">
        <f t="shared" si="28"/>
        <v>541</v>
      </c>
      <c r="R69" s="565">
        <f t="shared" si="28"/>
        <v>316</v>
      </c>
      <c r="S69" s="565">
        <f t="shared" si="28"/>
        <v>0</v>
      </c>
      <c r="T69" s="595">
        <f t="shared" si="8"/>
        <v>2932</v>
      </c>
      <c r="U69" s="567">
        <f>+T69+I69</f>
        <v>4107</v>
      </c>
      <c r="V69" s="150"/>
    </row>
    <row r="70" spans="1:22" ht="25.5" customHeight="1">
      <c r="A70" s="214"/>
      <c r="B70" s="503" t="s">
        <v>536</v>
      </c>
      <c r="C70" s="177">
        <f t="shared" si="26"/>
        <v>0</v>
      </c>
      <c r="D70" s="565"/>
      <c r="E70" s="565"/>
      <c r="F70" s="565"/>
      <c r="G70" s="565"/>
      <c r="H70" s="565"/>
      <c r="I70" s="565"/>
      <c r="J70" s="565"/>
      <c r="K70" s="565"/>
      <c r="L70" s="565"/>
      <c r="M70" s="565"/>
      <c r="N70" s="505"/>
      <c r="O70" s="505"/>
      <c r="P70" s="505"/>
      <c r="Q70" s="505"/>
      <c r="R70" s="505"/>
      <c r="S70" s="505"/>
      <c r="T70" s="595">
        <f t="shared" si="8"/>
        <v>0</v>
      </c>
      <c r="U70" s="567">
        <f aca="true" t="shared" si="29" ref="U70:U75">+T70+I70</f>
        <v>0</v>
      </c>
      <c r="V70" s="150"/>
    </row>
    <row r="71" spans="1:22" ht="25.5" customHeight="1">
      <c r="A71" s="214"/>
      <c r="B71" s="504" t="s">
        <v>538</v>
      </c>
      <c r="C71" s="177">
        <f t="shared" si="26"/>
        <v>4107</v>
      </c>
      <c r="D71" s="565"/>
      <c r="E71" s="565"/>
      <c r="F71" s="565"/>
      <c r="G71" s="565"/>
      <c r="H71" s="565"/>
      <c r="I71" s="565">
        <v>1175</v>
      </c>
      <c r="J71" s="565"/>
      <c r="K71" s="565"/>
      <c r="L71" s="565"/>
      <c r="M71" s="565"/>
      <c r="N71" s="505"/>
      <c r="O71" s="505">
        <v>1218</v>
      </c>
      <c r="P71" s="505">
        <v>857</v>
      </c>
      <c r="Q71" s="505">
        <v>541</v>
      </c>
      <c r="R71" s="505">
        <v>316</v>
      </c>
      <c r="S71" s="505"/>
      <c r="T71" s="595">
        <f t="shared" si="8"/>
        <v>2932</v>
      </c>
      <c r="U71" s="567">
        <f t="shared" si="29"/>
        <v>4107</v>
      </c>
      <c r="V71" s="150"/>
    </row>
    <row r="72" spans="1:22" ht="51.75" customHeight="1">
      <c r="A72" s="214" t="s">
        <v>526</v>
      </c>
      <c r="B72" s="517" t="s">
        <v>527</v>
      </c>
      <c r="C72" s="177">
        <f t="shared" si="26"/>
        <v>896</v>
      </c>
      <c r="D72" s="565">
        <f>SUM(D73:D75)</f>
        <v>0</v>
      </c>
      <c r="E72" s="565">
        <f aca="true" t="shared" si="30" ref="E72:S72">SUM(E73:E75)</f>
        <v>448</v>
      </c>
      <c r="F72" s="565">
        <f t="shared" si="30"/>
        <v>0</v>
      </c>
      <c r="G72" s="565"/>
      <c r="H72" s="565">
        <f t="shared" si="30"/>
        <v>0</v>
      </c>
      <c r="I72" s="565">
        <f t="shared" si="30"/>
        <v>0</v>
      </c>
      <c r="J72" s="565">
        <f t="shared" si="30"/>
        <v>0</v>
      </c>
      <c r="K72" s="565">
        <f t="shared" si="30"/>
        <v>0</v>
      </c>
      <c r="L72" s="565">
        <f t="shared" si="30"/>
        <v>0</v>
      </c>
      <c r="M72" s="565">
        <f t="shared" si="30"/>
        <v>0</v>
      </c>
      <c r="N72" s="565">
        <f t="shared" si="30"/>
        <v>0</v>
      </c>
      <c r="O72" s="565">
        <f t="shared" si="30"/>
        <v>100</v>
      </c>
      <c r="P72" s="565">
        <f t="shared" si="30"/>
        <v>146</v>
      </c>
      <c r="Q72" s="565">
        <f t="shared" si="30"/>
        <v>92</v>
      </c>
      <c r="R72" s="565">
        <f t="shared" si="30"/>
        <v>59</v>
      </c>
      <c r="S72" s="565">
        <f t="shared" si="30"/>
        <v>51</v>
      </c>
      <c r="T72" s="595">
        <f t="shared" si="8"/>
        <v>448</v>
      </c>
      <c r="U72" s="567">
        <f>+T72+E72</f>
        <v>896</v>
      </c>
      <c r="V72" s="150"/>
    </row>
    <row r="73" spans="1:22" ht="45.75" customHeight="1">
      <c r="A73" s="217">
        <v>1</v>
      </c>
      <c r="B73" s="518" t="s">
        <v>528</v>
      </c>
      <c r="C73" s="177">
        <f t="shared" si="26"/>
        <v>0</v>
      </c>
      <c r="D73" s="565"/>
      <c r="E73" s="565"/>
      <c r="F73" s="565"/>
      <c r="G73" s="565"/>
      <c r="H73" s="565"/>
      <c r="I73" s="565"/>
      <c r="J73" s="565"/>
      <c r="K73" s="565"/>
      <c r="L73" s="565"/>
      <c r="M73" s="565"/>
      <c r="N73" s="505"/>
      <c r="O73" s="505"/>
      <c r="P73" s="505"/>
      <c r="Q73" s="505"/>
      <c r="R73" s="505"/>
      <c r="S73" s="505"/>
      <c r="T73" s="595">
        <f t="shared" si="8"/>
        <v>0</v>
      </c>
      <c r="U73" s="567">
        <f t="shared" si="29"/>
        <v>0</v>
      </c>
      <c r="V73" s="150"/>
    </row>
    <row r="74" spans="1:22" ht="24" customHeight="1">
      <c r="A74" s="217"/>
      <c r="B74" s="503" t="s">
        <v>536</v>
      </c>
      <c r="C74" s="177">
        <f t="shared" si="26"/>
        <v>0</v>
      </c>
      <c r="D74" s="565"/>
      <c r="E74" s="565"/>
      <c r="F74" s="565"/>
      <c r="G74" s="565"/>
      <c r="H74" s="565"/>
      <c r="I74" s="565"/>
      <c r="J74" s="565"/>
      <c r="K74" s="565"/>
      <c r="L74" s="565"/>
      <c r="M74" s="565"/>
      <c r="N74" s="505"/>
      <c r="O74" s="505"/>
      <c r="P74" s="505"/>
      <c r="Q74" s="505"/>
      <c r="R74" s="505"/>
      <c r="S74" s="505"/>
      <c r="T74" s="595">
        <f t="shared" si="8"/>
        <v>0</v>
      </c>
      <c r="U74" s="567">
        <f t="shared" si="29"/>
        <v>0</v>
      </c>
      <c r="V74" s="150"/>
    </row>
    <row r="75" spans="1:22" ht="24" customHeight="1">
      <c r="A75" s="217"/>
      <c r="B75" s="504" t="s">
        <v>538</v>
      </c>
      <c r="C75" s="177">
        <f t="shared" si="26"/>
        <v>896</v>
      </c>
      <c r="D75" s="565"/>
      <c r="E75" s="565">
        <v>448</v>
      </c>
      <c r="F75" s="565"/>
      <c r="G75" s="565"/>
      <c r="H75" s="565"/>
      <c r="I75" s="565"/>
      <c r="J75" s="565"/>
      <c r="K75" s="565"/>
      <c r="L75" s="565"/>
      <c r="M75" s="565"/>
      <c r="N75" s="505"/>
      <c r="O75" s="505">
        <v>100</v>
      </c>
      <c r="P75" s="505">
        <v>146</v>
      </c>
      <c r="Q75" s="505">
        <v>92</v>
      </c>
      <c r="R75" s="505">
        <v>59</v>
      </c>
      <c r="S75" s="505">
        <v>51</v>
      </c>
      <c r="T75" s="595">
        <f t="shared" si="8"/>
        <v>448</v>
      </c>
      <c r="U75" s="567">
        <f t="shared" si="29"/>
        <v>448</v>
      </c>
      <c r="V75" s="150"/>
    </row>
    <row r="76" spans="1:22" ht="70.5" customHeight="1">
      <c r="A76" s="214" t="s">
        <v>14</v>
      </c>
      <c r="B76" s="517" t="s">
        <v>552</v>
      </c>
      <c r="C76" s="177">
        <f t="shared" si="26"/>
        <v>6762</v>
      </c>
      <c r="D76" s="565">
        <f>SUM(D77:D90)</f>
        <v>30</v>
      </c>
      <c r="E76" s="565">
        <f>SUM(E77:E90)</f>
        <v>2939</v>
      </c>
      <c r="F76" s="565">
        <f aca="true" t="shared" si="31" ref="F76:S76">SUM(F77:F90)</f>
        <v>20</v>
      </c>
      <c r="G76" s="565">
        <f t="shared" si="31"/>
        <v>300</v>
      </c>
      <c r="H76" s="565">
        <f t="shared" si="31"/>
        <v>20</v>
      </c>
      <c r="I76" s="565">
        <f t="shared" si="31"/>
        <v>20</v>
      </c>
      <c r="J76" s="565">
        <f t="shared" si="31"/>
        <v>2757</v>
      </c>
      <c r="K76" s="565">
        <f t="shared" si="31"/>
        <v>20</v>
      </c>
      <c r="L76" s="565">
        <f t="shared" si="31"/>
        <v>20</v>
      </c>
      <c r="M76" s="565">
        <f t="shared" si="31"/>
        <v>20</v>
      </c>
      <c r="N76" s="565">
        <f t="shared" si="31"/>
        <v>0</v>
      </c>
      <c r="O76" s="565">
        <f t="shared" si="31"/>
        <v>198</v>
      </c>
      <c r="P76" s="565">
        <f t="shared" si="31"/>
        <v>222</v>
      </c>
      <c r="Q76" s="565">
        <f t="shared" si="31"/>
        <v>87</v>
      </c>
      <c r="R76" s="565">
        <f t="shared" si="31"/>
        <v>92</v>
      </c>
      <c r="S76" s="565">
        <f t="shared" si="31"/>
        <v>17</v>
      </c>
      <c r="T76" s="595">
        <f t="shared" si="8"/>
        <v>616</v>
      </c>
      <c r="U76" s="567">
        <f>+T76+M76+L76+K76+J76+I76+H76+G76+F76+E76+D76</f>
        <v>6762</v>
      </c>
      <c r="V76" s="150"/>
    </row>
    <row r="77" spans="1:22" ht="73.5" customHeight="1">
      <c r="A77" s="217">
        <v>1</v>
      </c>
      <c r="B77" s="504" t="s">
        <v>529</v>
      </c>
      <c r="C77" s="177">
        <f aca="true" t="shared" si="32" ref="C77:C90">SUM(D77:S77)</f>
        <v>0</v>
      </c>
      <c r="D77" s="565"/>
      <c r="E77" s="565"/>
      <c r="F77" s="565"/>
      <c r="G77" s="565"/>
      <c r="H77" s="565"/>
      <c r="I77" s="565"/>
      <c r="J77" s="565"/>
      <c r="K77" s="565"/>
      <c r="L77" s="565"/>
      <c r="M77" s="565"/>
      <c r="N77" s="505"/>
      <c r="O77" s="505"/>
      <c r="P77" s="505"/>
      <c r="Q77" s="505"/>
      <c r="R77" s="505"/>
      <c r="S77" s="505"/>
      <c r="T77" s="595">
        <f t="shared" si="8"/>
        <v>0</v>
      </c>
      <c r="U77" s="567">
        <f aca="true" t="shared" si="33" ref="U77:U90">+T77+M77+L77+K77+J77+I77+H77+G77+F77+E77+D77</f>
        <v>0</v>
      </c>
      <c r="V77" s="150"/>
    </row>
    <row r="78" spans="1:22" ht="24.75" customHeight="1">
      <c r="A78" s="217"/>
      <c r="B78" s="503" t="s">
        <v>536</v>
      </c>
      <c r="C78" s="177">
        <f t="shared" si="32"/>
        <v>0</v>
      </c>
      <c r="D78" s="565"/>
      <c r="E78" s="565"/>
      <c r="F78" s="565"/>
      <c r="G78" s="565"/>
      <c r="H78" s="565"/>
      <c r="I78" s="565"/>
      <c r="J78" s="565"/>
      <c r="K78" s="565"/>
      <c r="L78" s="565"/>
      <c r="M78" s="565"/>
      <c r="N78" s="505"/>
      <c r="O78" s="505"/>
      <c r="P78" s="505"/>
      <c r="Q78" s="505"/>
      <c r="R78" s="505"/>
      <c r="S78" s="505"/>
      <c r="T78" s="595">
        <f t="shared" si="8"/>
        <v>0</v>
      </c>
      <c r="U78" s="567">
        <f t="shared" si="33"/>
        <v>0</v>
      </c>
      <c r="V78" s="150"/>
    </row>
    <row r="79" spans="1:22" ht="25.5" customHeight="1">
      <c r="A79" s="217"/>
      <c r="B79" s="504" t="s">
        <v>538</v>
      </c>
      <c r="C79" s="177">
        <f t="shared" si="32"/>
        <v>1891</v>
      </c>
      <c r="D79" s="565"/>
      <c r="E79" s="565">
        <v>1213</v>
      </c>
      <c r="F79" s="565"/>
      <c r="G79" s="565">
        <v>300</v>
      </c>
      <c r="H79" s="565"/>
      <c r="I79" s="565"/>
      <c r="J79" s="565"/>
      <c r="K79" s="565"/>
      <c r="L79" s="565"/>
      <c r="M79" s="565"/>
      <c r="N79" s="505"/>
      <c r="O79" s="505">
        <v>91</v>
      </c>
      <c r="P79" s="505">
        <v>151</v>
      </c>
      <c r="Q79" s="505">
        <v>55</v>
      </c>
      <c r="R79" s="505">
        <v>68</v>
      </c>
      <c r="S79" s="505">
        <v>13</v>
      </c>
      <c r="T79" s="595">
        <f aca="true" t="shared" si="34" ref="T79:T90">SUM(O79:S79)</f>
        <v>378</v>
      </c>
      <c r="U79" s="567">
        <f t="shared" si="33"/>
        <v>1891</v>
      </c>
      <c r="V79" s="150"/>
    </row>
    <row r="80" spans="1:22" ht="25.5" customHeight="1">
      <c r="A80" s="217"/>
      <c r="B80" s="503" t="s">
        <v>539</v>
      </c>
      <c r="C80" s="177">
        <f t="shared" si="32"/>
        <v>0</v>
      </c>
      <c r="D80" s="565"/>
      <c r="E80" s="565"/>
      <c r="F80" s="565"/>
      <c r="G80" s="565"/>
      <c r="H80" s="565"/>
      <c r="I80" s="565"/>
      <c r="J80" s="565"/>
      <c r="K80" s="565"/>
      <c r="L80" s="565"/>
      <c r="M80" s="565"/>
      <c r="N80" s="505"/>
      <c r="O80" s="505"/>
      <c r="P80" s="505"/>
      <c r="Q80" s="505"/>
      <c r="R80" s="505"/>
      <c r="S80" s="505"/>
      <c r="T80" s="595">
        <f t="shared" si="34"/>
        <v>0</v>
      </c>
      <c r="U80" s="567">
        <f t="shared" si="33"/>
        <v>0</v>
      </c>
      <c r="V80" s="150"/>
    </row>
    <row r="81" spans="1:22" ht="25.5" customHeight="1">
      <c r="A81" s="217"/>
      <c r="B81" s="504" t="s">
        <v>538</v>
      </c>
      <c r="C81" s="177">
        <f t="shared" si="32"/>
        <v>1185</v>
      </c>
      <c r="D81" s="565"/>
      <c r="E81" s="565">
        <v>1185</v>
      </c>
      <c r="F81" s="565"/>
      <c r="G81" s="565"/>
      <c r="H81" s="565"/>
      <c r="I81" s="565"/>
      <c r="J81" s="565"/>
      <c r="K81" s="565"/>
      <c r="L81" s="565"/>
      <c r="M81" s="565"/>
      <c r="N81" s="505"/>
      <c r="O81" s="505"/>
      <c r="P81" s="505"/>
      <c r="Q81" s="505"/>
      <c r="R81" s="505"/>
      <c r="S81" s="505"/>
      <c r="T81" s="595">
        <f t="shared" si="34"/>
        <v>0</v>
      </c>
      <c r="U81" s="567">
        <f t="shared" si="33"/>
        <v>1185</v>
      </c>
      <c r="V81" s="150"/>
    </row>
    <row r="82" spans="1:22" ht="60.75" customHeight="1">
      <c r="A82" s="217">
        <v>2</v>
      </c>
      <c r="B82" s="518" t="s">
        <v>530</v>
      </c>
      <c r="C82" s="177">
        <f t="shared" si="32"/>
        <v>0</v>
      </c>
      <c r="D82" s="565"/>
      <c r="E82" s="565"/>
      <c r="F82" s="565"/>
      <c r="G82" s="565"/>
      <c r="H82" s="565"/>
      <c r="I82" s="565"/>
      <c r="J82" s="565"/>
      <c r="K82" s="565"/>
      <c r="L82" s="565"/>
      <c r="M82" s="565"/>
      <c r="N82" s="505"/>
      <c r="O82" s="505"/>
      <c r="P82" s="505"/>
      <c r="Q82" s="505"/>
      <c r="R82" s="505"/>
      <c r="S82" s="505"/>
      <c r="T82" s="595">
        <f t="shared" si="34"/>
        <v>0</v>
      </c>
      <c r="U82" s="567">
        <f t="shared" si="33"/>
        <v>0</v>
      </c>
      <c r="V82" s="150"/>
    </row>
    <row r="83" spans="1:22" ht="28.5" customHeight="1">
      <c r="A83" s="217"/>
      <c r="B83" s="503" t="s">
        <v>536</v>
      </c>
      <c r="C83" s="177">
        <f t="shared" si="32"/>
        <v>0</v>
      </c>
      <c r="D83" s="565"/>
      <c r="E83" s="565"/>
      <c r="F83" s="565"/>
      <c r="G83" s="565"/>
      <c r="H83" s="565"/>
      <c r="I83" s="565"/>
      <c r="J83" s="565"/>
      <c r="K83" s="565"/>
      <c r="L83" s="565"/>
      <c r="M83" s="565"/>
      <c r="N83" s="505"/>
      <c r="O83" s="505"/>
      <c r="P83" s="505"/>
      <c r="Q83" s="505"/>
      <c r="R83" s="505"/>
      <c r="S83" s="505"/>
      <c r="T83" s="595">
        <f t="shared" si="34"/>
        <v>0</v>
      </c>
      <c r="U83" s="567">
        <f t="shared" si="33"/>
        <v>0</v>
      </c>
      <c r="V83" s="150"/>
    </row>
    <row r="84" spans="1:22" ht="26.25" customHeight="1">
      <c r="A84" s="217"/>
      <c r="B84" s="504" t="s">
        <v>537</v>
      </c>
      <c r="C84" s="177">
        <f t="shared" si="32"/>
        <v>2422</v>
      </c>
      <c r="D84" s="565"/>
      <c r="E84" s="565"/>
      <c r="F84" s="565"/>
      <c r="G84" s="565"/>
      <c r="H84" s="565"/>
      <c r="I84" s="565"/>
      <c r="J84" s="565">
        <v>2422</v>
      </c>
      <c r="K84" s="565"/>
      <c r="L84" s="565"/>
      <c r="M84" s="565"/>
      <c r="N84" s="505"/>
      <c r="O84" s="505"/>
      <c r="P84" s="505"/>
      <c r="Q84" s="505"/>
      <c r="R84" s="505"/>
      <c r="S84" s="505"/>
      <c r="T84" s="595">
        <f t="shared" si="34"/>
        <v>0</v>
      </c>
      <c r="U84" s="567">
        <f t="shared" si="33"/>
        <v>2422</v>
      </c>
      <c r="V84" s="150"/>
    </row>
    <row r="85" spans="1:22" ht="29.25" customHeight="1">
      <c r="A85" s="217"/>
      <c r="B85" s="504" t="s">
        <v>538</v>
      </c>
      <c r="C85" s="177">
        <f t="shared" si="32"/>
        <v>335</v>
      </c>
      <c r="D85" s="565"/>
      <c r="E85" s="565"/>
      <c r="F85" s="565"/>
      <c r="G85" s="565"/>
      <c r="H85" s="565"/>
      <c r="I85" s="565"/>
      <c r="J85" s="565">
        <v>335</v>
      </c>
      <c r="K85" s="565"/>
      <c r="L85" s="565"/>
      <c r="M85" s="565"/>
      <c r="N85" s="505"/>
      <c r="O85" s="505"/>
      <c r="P85" s="505"/>
      <c r="Q85" s="505"/>
      <c r="R85" s="505"/>
      <c r="S85" s="505"/>
      <c r="T85" s="595">
        <f t="shared" si="34"/>
        <v>0</v>
      </c>
      <c r="U85" s="567">
        <f t="shared" si="33"/>
        <v>335</v>
      </c>
      <c r="V85" s="150"/>
    </row>
    <row r="86" spans="1:22" ht="41.25" customHeight="1">
      <c r="A86" s="217">
        <v>3</v>
      </c>
      <c r="B86" s="521" t="s">
        <v>531</v>
      </c>
      <c r="C86" s="177">
        <f t="shared" si="32"/>
        <v>0</v>
      </c>
      <c r="D86" s="565"/>
      <c r="E86" s="565"/>
      <c r="F86" s="565"/>
      <c r="G86" s="565"/>
      <c r="H86" s="565"/>
      <c r="I86" s="565"/>
      <c r="J86" s="565"/>
      <c r="K86" s="565"/>
      <c r="L86" s="565"/>
      <c r="M86" s="565"/>
      <c r="N86" s="505"/>
      <c r="O86" s="505"/>
      <c r="P86" s="505"/>
      <c r="Q86" s="505"/>
      <c r="R86" s="505"/>
      <c r="S86" s="505"/>
      <c r="T86" s="595">
        <f t="shared" si="34"/>
        <v>0</v>
      </c>
      <c r="U86" s="567">
        <f>+T86+M86+L86+K86+J86+I86+H86+G86+F86+E86+D86</f>
        <v>0</v>
      </c>
      <c r="V86" s="150"/>
    </row>
    <row r="87" spans="1:22" ht="16.5" customHeight="1">
      <c r="A87" s="217"/>
      <c r="B87" s="503" t="s">
        <v>536</v>
      </c>
      <c r="C87" s="177">
        <f t="shared" si="32"/>
        <v>0</v>
      </c>
      <c r="D87" s="565"/>
      <c r="E87" s="565"/>
      <c r="F87" s="565"/>
      <c r="G87" s="565"/>
      <c r="H87" s="565"/>
      <c r="I87" s="565"/>
      <c r="J87" s="565"/>
      <c r="K87" s="565"/>
      <c r="L87" s="565"/>
      <c r="M87" s="565"/>
      <c r="N87" s="505"/>
      <c r="O87" s="505"/>
      <c r="P87" s="505"/>
      <c r="Q87" s="505"/>
      <c r="R87" s="505"/>
      <c r="S87" s="505"/>
      <c r="T87" s="595">
        <f t="shared" si="34"/>
        <v>0</v>
      </c>
      <c r="U87" s="567">
        <f t="shared" si="33"/>
        <v>0</v>
      </c>
      <c r="V87" s="150"/>
    </row>
    <row r="88" spans="1:21" s="72" customFormat="1" ht="26.25" customHeight="1">
      <c r="A88" s="212"/>
      <c r="B88" s="503" t="s">
        <v>538</v>
      </c>
      <c r="C88" s="177">
        <f>SUM(D88:S88)</f>
        <v>529</v>
      </c>
      <c r="D88" s="565">
        <v>30</v>
      </c>
      <c r="E88" s="565">
        <v>141</v>
      </c>
      <c r="F88" s="565">
        <v>20</v>
      </c>
      <c r="G88" s="565">
        <v>0</v>
      </c>
      <c r="H88" s="565">
        <v>20</v>
      </c>
      <c r="I88" s="565">
        <v>20</v>
      </c>
      <c r="J88" s="565"/>
      <c r="K88" s="565">
        <v>20</v>
      </c>
      <c r="L88" s="565">
        <v>20</v>
      </c>
      <c r="M88" s="565">
        <v>20</v>
      </c>
      <c r="N88" s="177"/>
      <c r="O88" s="177">
        <v>107</v>
      </c>
      <c r="P88" s="177">
        <v>71</v>
      </c>
      <c r="Q88" s="177">
        <v>32</v>
      </c>
      <c r="R88" s="177">
        <v>24</v>
      </c>
      <c r="S88" s="177">
        <v>4</v>
      </c>
      <c r="T88" s="595">
        <f t="shared" si="34"/>
        <v>238</v>
      </c>
      <c r="U88" s="567">
        <f t="shared" si="33"/>
        <v>529</v>
      </c>
    </row>
    <row r="89" spans="1:22" ht="16.5" customHeight="1">
      <c r="A89" s="240"/>
      <c r="B89" s="503" t="s">
        <v>539</v>
      </c>
      <c r="C89" s="177">
        <f t="shared" si="32"/>
        <v>0</v>
      </c>
      <c r="D89" s="565"/>
      <c r="E89" s="565"/>
      <c r="F89" s="565"/>
      <c r="G89" s="565"/>
      <c r="H89" s="565"/>
      <c r="I89" s="565"/>
      <c r="J89" s="565"/>
      <c r="K89" s="565"/>
      <c r="L89" s="565"/>
      <c r="M89" s="565"/>
      <c r="N89" s="505"/>
      <c r="O89" s="505"/>
      <c r="P89" s="505"/>
      <c r="Q89" s="505"/>
      <c r="R89" s="505"/>
      <c r="S89" s="505"/>
      <c r="T89" s="595">
        <f t="shared" si="34"/>
        <v>0</v>
      </c>
      <c r="U89" s="567">
        <f t="shared" si="33"/>
        <v>0</v>
      </c>
      <c r="V89" s="150"/>
    </row>
    <row r="90" spans="1:22" ht="21.75" customHeight="1">
      <c r="A90" s="240"/>
      <c r="B90" s="504" t="s">
        <v>538</v>
      </c>
      <c r="C90" s="177">
        <f t="shared" si="32"/>
        <v>400</v>
      </c>
      <c r="D90" s="565"/>
      <c r="E90" s="565">
        <v>400</v>
      </c>
      <c r="F90" s="565"/>
      <c r="G90" s="565"/>
      <c r="H90" s="565"/>
      <c r="I90" s="565"/>
      <c r="J90" s="565"/>
      <c r="K90" s="565"/>
      <c r="L90" s="565"/>
      <c r="M90" s="565"/>
      <c r="N90" s="505"/>
      <c r="O90" s="505"/>
      <c r="P90" s="505"/>
      <c r="Q90" s="505"/>
      <c r="R90" s="505"/>
      <c r="S90" s="505"/>
      <c r="T90" s="595">
        <f t="shared" si="34"/>
        <v>0</v>
      </c>
      <c r="U90" s="567">
        <f t="shared" si="33"/>
        <v>400</v>
      </c>
      <c r="V90" s="150"/>
    </row>
    <row r="92" spans="5:15" ht="15">
      <c r="E92" s="329"/>
      <c r="H92" s="329"/>
      <c r="O92" s="329"/>
    </row>
    <row r="95" ht="15">
      <c r="D95" s="329">
        <f>C88-529</f>
        <v>0</v>
      </c>
    </row>
    <row r="96" ht="15">
      <c r="I96" s="329"/>
    </row>
    <row r="98" ht="15">
      <c r="E98" s="329"/>
    </row>
    <row r="100" spans="3:5" ht="15">
      <c r="C100" s="234"/>
      <c r="E100" s="329"/>
    </row>
  </sheetData>
  <sheetProtection/>
  <mergeCells count="6">
    <mergeCell ref="A1:S1"/>
    <mergeCell ref="A4:A5"/>
    <mergeCell ref="B4:B5"/>
    <mergeCell ref="D4:S4"/>
    <mergeCell ref="C4:C5"/>
    <mergeCell ref="P3:S3"/>
  </mergeCells>
  <printOptions/>
  <pageMargins left="0.4330708661417323" right="0.35433070866141736" top="0.4724409448818898" bottom="0.3937007874015748" header="0.31496062992125984" footer="0.1968503937007874"/>
  <pageSetup horizontalDpi="600" verticalDpi="600" orientation="landscape" paperSize="9" scale="65" r:id="rId1"/>
</worksheet>
</file>

<file path=xl/worksheets/sheet19.xml><?xml version="1.0" encoding="utf-8"?>
<worksheet xmlns="http://schemas.openxmlformats.org/spreadsheetml/2006/main" xmlns:r="http://schemas.openxmlformats.org/officeDocument/2006/relationships">
  <dimension ref="A1:L216"/>
  <sheetViews>
    <sheetView zoomScalePageLayoutView="0" workbookViewId="0" topLeftCell="A271">
      <selection activeCell="B207" sqref="B207"/>
    </sheetView>
  </sheetViews>
  <sheetFormatPr defaultColWidth="9.00390625" defaultRowHeight="15.75"/>
  <cols>
    <col min="1" max="1" width="4.75390625" style="3" customWidth="1"/>
    <col min="2" max="2" width="47.00390625" style="3" customWidth="1"/>
    <col min="3" max="3" width="8.00390625" style="3" customWidth="1"/>
    <col min="4" max="4" width="8.25390625" style="3" customWidth="1"/>
    <col min="5" max="5" width="8.50390625" style="3" customWidth="1"/>
    <col min="6" max="7" width="7.75390625" style="3" customWidth="1"/>
    <col min="8" max="8" width="9.00390625" style="622" customWidth="1"/>
    <col min="9" max="9" width="6.875" style="3" customWidth="1"/>
    <col min="10" max="10" width="7.625" style="3" customWidth="1"/>
    <col min="11" max="11" width="6.875" style="3" customWidth="1"/>
    <col min="12" max="12" width="8.00390625" style="3" customWidth="1"/>
    <col min="13" max="13" width="9.00390625" style="3" customWidth="1"/>
  </cols>
  <sheetData>
    <row r="1" spans="1:12" ht="92.25" customHeight="1">
      <c r="A1" s="857" t="s">
        <v>649</v>
      </c>
      <c r="B1" s="857"/>
      <c r="C1" s="857"/>
      <c r="D1" s="857"/>
      <c r="E1" s="857"/>
      <c r="F1" s="857"/>
      <c r="G1" s="857"/>
      <c r="H1" s="857"/>
      <c r="I1" s="857"/>
      <c r="J1" s="857"/>
      <c r="K1" s="857"/>
      <c r="L1" s="857"/>
    </row>
    <row r="2" spans="1:12" ht="42.75" customHeight="1">
      <c r="A2" s="857" t="s">
        <v>548</v>
      </c>
      <c r="B2" s="857"/>
      <c r="C2" s="857"/>
      <c r="D2" s="857"/>
      <c r="E2" s="857"/>
      <c r="F2" s="857"/>
      <c r="G2" s="857"/>
      <c r="H2" s="857"/>
      <c r="I2" s="857"/>
      <c r="J2" s="857"/>
      <c r="K2" s="857"/>
      <c r="L2" s="857"/>
    </row>
    <row r="3" spans="1:12" ht="18">
      <c r="A3" s="506"/>
      <c r="B3" s="507"/>
      <c r="C3" s="507"/>
      <c r="D3" s="507"/>
      <c r="E3" s="507"/>
      <c r="F3" s="507"/>
      <c r="G3" s="507"/>
      <c r="H3" s="593"/>
      <c r="I3" s="845" t="s">
        <v>532</v>
      </c>
      <c r="J3" s="845"/>
      <c r="K3" s="845"/>
      <c r="L3" s="845"/>
    </row>
    <row r="4" spans="1:12" ht="15">
      <c r="A4" s="846" t="s">
        <v>549</v>
      </c>
      <c r="B4" s="849" t="s">
        <v>541</v>
      </c>
      <c r="C4" s="852" t="s">
        <v>542</v>
      </c>
      <c r="D4" s="853"/>
      <c r="E4" s="853"/>
      <c r="F4" s="853"/>
      <c r="G4" s="853"/>
      <c r="H4" s="853"/>
      <c r="I4" s="853"/>
      <c r="J4" s="853"/>
      <c r="K4" s="853"/>
      <c r="L4" s="844" t="s">
        <v>216</v>
      </c>
    </row>
    <row r="5" spans="1:12" ht="15">
      <c r="A5" s="847"/>
      <c r="B5" s="850"/>
      <c r="C5" s="854" t="s">
        <v>447</v>
      </c>
      <c r="D5" s="855"/>
      <c r="E5" s="856"/>
      <c r="F5" s="854" t="s">
        <v>498</v>
      </c>
      <c r="G5" s="855"/>
      <c r="H5" s="856"/>
      <c r="I5" s="854" t="s">
        <v>543</v>
      </c>
      <c r="J5" s="855"/>
      <c r="K5" s="856"/>
      <c r="L5" s="844"/>
    </row>
    <row r="6" spans="1:12" ht="15">
      <c r="A6" s="847"/>
      <c r="B6" s="850"/>
      <c r="C6" s="844" t="s">
        <v>447</v>
      </c>
      <c r="D6" s="844" t="s">
        <v>501</v>
      </c>
      <c r="E6" s="844"/>
      <c r="F6" s="844" t="s">
        <v>447</v>
      </c>
      <c r="G6" s="844" t="s">
        <v>501</v>
      </c>
      <c r="H6" s="844"/>
      <c r="I6" s="844" t="s">
        <v>447</v>
      </c>
      <c r="J6" s="844" t="s">
        <v>501</v>
      </c>
      <c r="K6" s="844"/>
      <c r="L6" s="844"/>
    </row>
    <row r="7" spans="1:12" ht="30">
      <c r="A7" s="848"/>
      <c r="B7" s="851"/>
      <c r="C7" s="844"/>
      <c r="D7" s="177" t="s">
        <v>503</v>
      </c>
      <c r="E7" s="177" t="s">
        <v>479</v>
      </c>
      <c r="F7" s="844"/>
      <c r="G7" s="177" t="s">
        <v>503</v>
      </c>
      <c r="H7" s="553" t="s">
        <v>479</v>
      </c>
      <c r="I7" s="844"/>
      <c r="J7" s="177" t="s">
        <v>503</v>
      </c>
      <c r="K7" s="177" t="s">
        <v>479</v>
      </c>
      <c r="L7" s="177"/>
    </row>
    <row r="8" spans="1:12" ht="15">
      <c r="A8" s="214"/>
      <c r="B8" s="214" t="s">
        <v>544</v>
      </c>
      <c r="C8" s="214">
        <f>C9</f>
        <v>7000</v>
      </c>
      <c r="D8" s="214">
        <f aca="true" t="shared" si="0" ref="D8:K8">D9</f>
        <v>7000</v>
      </c>
      <c r="E8" s="214">
        <f t="shared" si="0"/>
        <v>0</v>
      </c>
      <c r="F8" s="214">
        <f t="shared" si="0"/>
        <v>4000</v>
      </c>
      <c r="G8" s="214">
        <f t="shared" si="0"/>
        <v>4000</v>
      </c>
      <c r="H8" s="616">
        <f t="shared" si="0"/>
        <v>0</v>
      </c>
      <c r="I8" s="214">
        <f t="shared" si="0"/>
        <v>3000</v>
      </c>
      <c r="J8" s="214">
        <f t="shared" si="0"/>
        <v>3000</v>
      </c>
      <c r="K8" s="214">
        <f t="shared" si="0"/>
        <v>0</v>
      </c>
      <c r="L8" s="177"/>
    </row>
    <row r="9" spans="1:12" ht="37.5" customHeight="1">
      <c r="A9" s="502" t="s">
        <v>623</v>
      </c>
      <c r="B9" s="525" t="s">
        <v>354</v>
      </c>
      <c r="C9" s="509">
        <f>SUM(C10)</f>
        <v>7000</v>
      </c>
      <c r="D9" s="509">
        <f aca="true" t="shared" si="1" ref="D9:K9">SUM(D10)</f>
        <v>7000</v>
      </c>
      <c r="E9" s="509">
        <f t="shared" si="1"/>
        <v>0</v>
      </c>
      <c r="F9" s="509">
        <f t="shared" si="1"/>
        <v>4000</v>
      </c>
      <c r="G9" s="509">
        <f t="shared" si="1"/>
        <v>4000</v>
      </c>
      <c r="H9" s="617">
        <f t="shared" si="1"/>
        <v>0</v>
      </c>
      <c r="I9" s="509">
        <f t="shared" si="1"/>
        <v>3000</v>
      </c>
      <c r="J9" s="509">
        <f t="shared" si="1"/>
        <v>3000</v>
      </c>
      <c r="K9" s="509">
        <f t="shared" si="1"/>
        <v>0</v>
      </c>
      <c r="L9" s="509"/>
    </row>
    <row r="10" spans="1:12" ht="81.75" customHeight="1">
      <c r="A10" s="510">
        <v>1</v>
      </c>
      <c r="B10" s="526" t="s">
        <v>518</v>
      </c>
      <c r="C10" s="528">
        <f>C11</f>
        <v>7000</v>
      </c>
      <c r="D10" s="528">
        <f aca="true" t="shared" si="2" ref="D10:K10">D11</f>
        <v>7000</v>
      </c>
      <c r="E10" s="528">
        <f>E11</f>
        <v>0</v>
      </c>
      <c r="F10" s="528">
        <f t="shared" si="2"/>
        <v>4000</v>
      </c>
      <c r="G10" s="528">
        <f t="shared" si="2"/>
        <v>4000</v>
      </c>
      <c r="H10" s="618">
        <f t="shared" si="2"/>
        <v>0</v>
      </c>
      <c r="I10" s="528">
        <f t="shared" si="2"/>
        <v>3000</v>
      </c>
      <c r="J10" s="528">
        <f t="shared" si="2"/>
        <v>3000</v>
      </c>
      <c r="K10" s="528">
        <f t="shared" si="2"/>
        <v>0</v>
      </c>
      <c r="L10" s="528"/>
    </row>
    <row r="11" spans="1:12" ht="158.25" customHeight="1">
      <c r="A11" s="510"/>
      <c r="B11" s="524" t="s">
        <v>620</v>
      </c>
      <c r="C11" s="528">
        <f>SUM(D11:E11)</f>
        <v>7000</v>
      </c>
      <c r="D11" s="528">
        <f>G11+J11</f>
        <v>7000</v>
      </c>
      <c r="E11" s="528">
        <f>H11+K11</f>
        <v>0</v>
      </c>
      <c r="F11" s="515">
        <f>SUM(G11:H11)</f>
        <v>4000</v>
      </c>
      <c r="G11" s="527">
        <v>4000</v>
      </c>
      <c r="H11" s="527">
        <v>0</v>
      </c>
      <c r="I11" s="527">
        <f>SUM(J11:K11)</f>
        <v>3000</v>
      </c>
      <c r="J11" s="527">
        <v>3000</v>
      </c>
      <c r="K11" s="512"/>
      <c r="L11" s="505"/>
    </row>
    <row r="14" spans="1:12" ht="75.75" customHeight="1">
      <c r="A14" s="857" t="s">
        <v>650</v>
      </c>
      <c r="B14" s="857"/>
      <c r="C14" s="857"/>
      <c r="D14" s="857"/>
      <c r="E14" s="857"/>
      <c r="F14" s="857"/>
      <c r="G14" s="857"/>
      <c r="H14" s="857"/>
      <c r="I14" s="857"/>
      <c r="J14" s="857"/>
      <c r="K14" s="857"/>
      <c r="L14" s="857"/>
    </row>
    <row r="15" spans="1:12" ht="37.5" customHeight="1">
      <c r="A15" s="857" t="s">
        <v>550</v>
      </c>
      <c r="B15" s="857"/>
      <c r="C15" s="857"/>
      <c r="D15" s="857"/>
      <c r="E15" s="857"/>
      <c r="F15" s="857"/>
      <c r="G15" s="857"/>
      <c r="H15" s="857"/>
      <c r="I15" s="857"/>
      <c r="J15" s="857"/>
      <c r="K15" s="857"/>
      <c r="L15" s="857"/>
    </row>
    <row r="16" spans="1:12" ht="18">
      <c r="A16" s="506"/>
      <c r="B16" s="507"/>
      <c r="C16" s="507"/>
      <c r="D16" s="507"/>
      <c r="E16" s="507"/>
      <c r="F16" s="507"/>
      <c r="G16" s="507"/>
      <c r="H16" s="593"/>
      <c r="I16" s="845" t="s">
        <v>532</v>
      </c>
      <c r="J16" s="845"/>
      <c r="K16" s="845"/>
      <c r="L16" s="845"/>
    </row>
    <row r="17" spans="1:12" ht="15">
      <c r="A17" s="846" t="s">
        <v>549</v>
      </c>
      <c r="B17" s="849" t="s">
        <v>541</v>
      </c>
      <c r="C17" s="852" t="s">
        <v>542</v>
      </c>
      <c r="D17" s="853"/>
      <c r="E17" s="853"/>
      <c r="F17" s="853"/>
      <c r="G17" s="853"/>
      <c r="H17" s="853"/>
      <c r="I17" s="853"/>
      <c r="J17" s="853"/>
      <c r="K17" s="853"/>
      <c r="L17" s="844" t="s">
        <v>216</v>
      </c>
    </row>
    <row r="18" spans="1:12" ht="15">
      <c r="A18" s="847"/>
      <c r="B18" s="850"/>
      <c r="C18" s="854" t="s">
        <v>447</v>
      </c>
      <c r="D18" s="855"/>
      <c r="E18" s="856"/>
      <c r="F18" s="854" t="s">
        <v>498</v>
      </c>
      <c r="G18" s="855"/>
      <c r="H18" s="856"/>
      <c r="I18" s="854" t="s">
        <v>543</v>
      </c>
      <c r="J18" s="855"/>
      <c r="K18" s="856"/>
      <c r="L18" s="844"/>
    </row>
    <row r="19" spans="1:12" ht="15">
      <c r="A19" s="847"/>
      <c r="B19" s="850"/>
      <c r="C19" s="844" t="s">
        <v>447</v>
      </c>
      <c r="D19" s="844" t="s">
        <v>501</v>
      </c>
      <c r="E19" s="844"/>
      <c r="F19" s="844" t="s">
        <v>447</v>
      </c>
      <c r="G19" s="844" t="s">
        <v>501</v>
      </c>
      <c r="H19" s="844"/>
      <c r="I19" s="844" t="s">
        <v>447</v>
      </c>
      <c r="J19" s="844" t="s">
        <v>501</v>
      </c>
      <c r="K19" s="844"/>
      <c r="L19" s="844"/>
    </row>
    <row r="20" spans="1:12" ht="30">
      <c r="A20" s="848"/>
      <c r="B20" s="851"/>
      <c r="C20" s="844"/>
      <c r="D20" s="177" t="s">
        <v>503</v>
      </c>
      <c r="E20" s="177" t="s">
        <v>479</v>
      </c>
      <c r="F20" s="844"/>
      <c r="G20" s="177" t="s">
        <v>503</v>
      </c>
      <c r="H20" s="553" t="s">
        <v>479</v>
      </c>
      <c r="I20" s="844"/>
      <c r="J20" s="177" t="s">
        <v>503</v>
      </c>
      <c r="K20" s="177" t="s">
        <v>479</v>
      </c>
      <c r="L20" s="177"/>
    </row>
    <row r="21" spans="1:12" ht="15">
      <c r="A21" s="214"/>
      <c r="B21" s="214" t="s">
        <v>544</v>
      </c>
      <c r="C21" s="535">
        <f>C22+C23</f>
        <v>1195</v>
      </c>
      <c r="D21" s="535">
        <f aca="true" t="shared" si="3" ref="D21:K21">D22+D23</f>
        <v>0</v>
      </c>
      <c r="E21" s="535">
        <f t="shared" si="3"/>
        <v>1195</v>
      </c>
      <c r="F21" s="535">
        <f t="shared" si="3"/>
        <v>1195</v>
      </c>
      <c r="G21" s="535">
        <f t="shared" si="3"/>
        <v>0</v>
      </c>
      <c r="H21" s="619">
        <f t="shared" si="3"/>
        <v>1195</v>
      </c>
      <c r="I21" s="535">
        <f t="shared" si="3"/>
        <v>0</v>
      </c>
      <c r="J21" s="535">
        <f t="shared" si="3"/>
        <v>0</v>
      </c>
      <c r="K21" s="535">
        <f t="shared" si="3"/>
        <v>0</v>
      </c>
      <c r="L21" s="177"/>
    </row>
    <row r="22" spans="1:12" ht="30">
      <c r="A22" s="502" t="s">
        <v>13</v>
      </c>
      <c r="B22" s="517" t="s">
        <v>525</v>
      </c>
      <c r="C22" s="535">
        <f>SUM(D22:E22)</f>
        <v>1175</v>
      </c>
      <c r="D22" s="535">
        <f>G22</f>
        <v>0</v>
      </c>
      <c r="E22" s="535">
        <f>H22</f>
        <v>1175</v>
      </c>
      <c r="F22" s="535">
        <f>SUM(G22:H22)</f>
        <v>1175</v>
      </c>
      <c r="G22" s="535">
        <v>0</v>
      </c>
      <c r="H22" s="535">
        <f>'DA8'!G62</f>
        <v>1175</v>
      </c>
      <c r="I22" s="509"/>
      <c r="J22" s="509"/>
      <c r="K22" s="509"/>
      <c r="L22" s="509"/>
    </row>
    <row r="23" spans="1:12" ht="60">
      <c r="A23" s="502" t="s">
        <v>15</v>
      </c>
      <c r="B23" s="508" t="s">
        <v>552</v>
      </c>
      <c r="C23" s="536">
        <f aca="true" t="shared" si="4" ref="C23:H23">C24</f>
        <v>20</v>
      </c>
      <c r="D23" s="536">
        <f t="shared" si="4"/>
        <v>0</v>
      </c>
      <c r="E23" s="536">
        <f t="shared" si="4"/>
        <v>20</v>
      </c>
      <c r="F23" s="536">
        <f t="shared" si="4"/>
        <v>20</v>
      </c>
      <c r="G23" s="536">
        <f t="shared" si="4"/>
        <v>0</v>
      </c>
      <c r="H23" s="620">
        <f t="shared" si="4"/>
        <v>20</v>
      </c>
      <c r="I23" s="528"/>
      <c r="J23" s="528"/>
      <c r="K23" s="528">
        <f>K24</f>
        <v>0</v>
      </c>
      <c r="L23" s="528">
        <f>L24</f>
        <v>0</v>
      </c>
    </row>
    <row r="24" spans="1:12" ht="30.75">
      <c r="A24" s="217">
        <v>1</v>
      </c>
      <c r="B24" s="519" t="s">
        <v>553</v>
      </c>
      <c r="C24" s="528">
        <f>SUM(D24:E24)</f>
        <v>20</v>
      </c>
      <c r="D24" s="528">
        <f>G24+J24</f>
        <v>0</v>
      </c>
      <c r="E24" s="528">
        <f>H24+K24</f>
        <v>20</v>
      </c>
      <c r="F24" s="515">
        <f>SUM(G24:H24)</f>
        <v>20</v>
      </c>
      <c r="G24" s="527">
        <v>0</v>
      </c>
      <c r="H24" s="527">
        <v>20</v>
      </c>
      <c r="I24" s="527"/>
      <c r="J24" s="527"/>
      <c r="K24" s="512"/>
      <c r="L24" s="505"/>
    </row>
    <row r="36" spans="1:12" ht="90" customHeight="1">
      <c r="A36" s="857" t="s">
        <v>649</v>
      </c>
      <c r="B36" s="857"/>
      <c r="C36" s="857"/>
      <c r="D36" s="857"/>
      <c r="E36" s="857"/>
      <c r="F36" s="857"/>
      <c r="G36" s="857"/>
      <c r="H36" s="857"/>
      <c r="I36" s="857"/>
      <c r="J36" s="857"/>
      <c r="K36" s="857"/>
      <c r="L36" s="857"/>
    </row>
    <row r="37" spans="1:12" ht="17.25">
      <c r="A37" s="857" t="s">
        <v>551</v>
      </c>
      <c r="B37" s="857"/>
      <c r="C37" s="857"/>
      <c r="D37" s="857"/>
      <c r="E37" s="857"/>
      <c r="F37" s="857"/>
      <c r="G37" s="857"/>
      <c r="H37" s="857"/>
      <c r="I37" s="857"/>
      <c r="J37" s="857"/>
      <c r="K37" s="857"/>
      <c r="L37" s="857"/>
    </row>
    <row r="38" spans="1:12" ht="18">
      <c r="A38" s="506"/>
      <c r="B38" s="507"/>
      <c r="C38" s="507"/>
      <c r="D38" s="507"/>
      <c r="E38" s="507"/>
      <c r="F38" s="507"/>
      <c r="G38" s="507"/>
      <c r="H38" s="593"/>
      <c r="I38" s="845" t="s">
        <v>532</v>
      </c>
      <c r="J38" s="845"/>
      <c r="K38" s="845"/>
      <c r="L38" s="845"/>
    </row>
    <row r="39" spans="1:12" ht="15">
      <c r="A39" s="846" t="s">
        <v>549</v>
      </c>
      <c r="B39" s="849" t="s">
        <v>541</v>
      </c>
      <c r="C39" s="852" t="s">
        <v>542</v>
      </c>
      <c r="D39" s="853"/>
      <c r="E39" s="853"/>
      <c r="F39" s="853"/>
      <c r="G39" s="853"/>
      <c r="H39" s="853"/>
      <c r="I39" s="853"/>
      <c r="J39" s="853"/>
      <c r="K39" s="853"/>
      <c r="L39" s="844" t="s">
        <v>216</v>
      </c>
    </row>
    <row r="40" spans="1:12" ht="15">
      <c r="A40" s="847"/>
      <c r="B40" s="850"/>
      <c r="C40" s="854" t="s">
        <v>447</v>
      </c>
      <c r="D40" s="855"/>
      <c r="E40" s="856"/>
      <c r="F40" s="854" t="s">
        <v>498</v>
      </c>
      <c r="G40" s="855"/>
      <c r="H40" s="856"/>
      <c r="I40" s="854" t="s">
        <v>543</v>
      </c>
      <c r="J40" s="855"/>
      <c r="K40" s="856"/>
      <c r="L40" s="844"/>
    </row>
    <row r="41" spans="1:12" ht="15">
      <c r="A41" s="847"/>
      <c r="B41" s="850"/>
      <c r="C41" s="844" t="s">
        <v>447</v>
      </c>
      <c r="D41" s="844" t="s">
        <v>501</v>
      </c>
      <c r="E41" s="844"/>
      <c r="F41" s="844" t="s">
        <v>447</v>
      </c>
      <c r="G41" s="844" t="s">
        <v>501</v>
      </c>
      <c r="H41" s="844"/>
      <c r="I41" s="844" t="s">
        <v>447</v>
      </c>
      <c r="J41" s="844" t="s">
        <v>501</v>
      </c>
      <c r="K41" s="844"/>
      <c r="L41" s="844"/>
    </row>
    <row r="42" spans="1:12" ht="30">
      <c r="A42" s="848"/>
      <c r="B42" s="851"/>
      <c r="C42" s="844"/>
      <c r="D42" s="177" t="s">
        <v>503</v>
      </c>
      <c r="E42" s="177" t="s">
        <v>479</v>
      </c>
      <c r="F42" s="844"/>
      <c r="G42" s="177" t="s">
        <v>503</v>
      </c>
      <c r="H42" s="553" t="s">
        <v>479</v>
      </c>
      <c r="I42" s="844"/>
      <c r="J42" s="177" t="s">
        <v>503</v>
      </c>
      <c r="K42" s="177" t="s">
        <v>479</v>
      </c>
      <c r="L42" s="177"/>
    </row>
    <row r="43" spans="1:12" ht="15">
      <c r="A43" s="214"/>
      <c r="B43" s="214" t="s">
        <v>544</v>
      </c>
      <c r="C43" s="535">
        <f>C44+C46</f>
        <v>1019</v>
      </c>
      <c r="D43" s="535">
        <f aca="true" t="shared" si="5" ref="D43:K43">D44+D46</f>
        <v>0</v>
      </c>
      <c r="E43" s="535">
        <f t="shared" si="5"/>
        <v>1019</v>
      </c>
      <c r="F43" s="535">
        <f t="shared" si="5"/>
        <v>1019</v>
      </c>
      <c r="G43" s="535">
        <f t="shared" si="5"/>
        <v>0</v>
      </c>
      <c r="H43" s="619">
        <f t="shared" si="5"/>
        <v>1019</v>
      </c>
      <c r="I43" s="535">
        <f t="shared" si="5"/>
        <v>0</v>
      </c>
      <c r="J43" s="535">
        <f t="shared" si="5"/>
        <v>0</v>
      </c>
      <c r="K43" s="535">
        <f t="shared" si="5"/>
        <v>0</v>
      </c>
      <c r="L43" s="177"/>
    </row>
    <row r="44" spans="1:12" ht="45">
      <c r="A44" s="214" t="s">
        <v>13</v>
      </c>
      <c r="B44" s="517" t="s">
        <v>522</v>
      </c>
      <c r="C44" s="509">
        <f aca="true" t="shared" si="6" ref="C44:K44">C45</f>
        <v>999</v>
      </c>
      <c r="D44" s="509">
        <f t="shared" si="6"/>
        <v>0</v>
      </c>
      <c r="E44" s="509">
        <f t="shared" si="6"/>
        <v>999</v>
      </c>
      <c r="F44" s="509">
        <f t="shared" si="6"/>
        <v>999</v>
      </c>
      <c r="G44" s="509">
        <f t="shared" si="6"/>
        <v>0</v>
      </c>
      <c r="H44" s="617">
        <f t="shared" si="6"/>
        <v>999</v>
      </c>
      <c r="I44" s="509">
        <f t="shared" si="6"/>
        <v>0</v>
      </c>
      <c r="J44" s="509">
        <f t="shared" si="6"/>
        <v>0</v>
      </c>
      <c r="K44" s="509">
        <f t="shared" si="6"/>
        <v>0</v>
      </c>
      <c r="L44" s="509"/>
    </row>
    <row r="45" spans="1:12" ht="66" customHeight="1">
      <c r="A45" s="214" t="s">
        <v>511</v>
      </c>
      <c r="B45" s="615" t="s">
        <v>554</v>
      </c>
      <c r="C45" s="512">
        <f>SUM(D45:E45)</f>
        <v>999</v>
      </c>
      <c r="D45" s="512">
        <v>0</v>
      </c>
      <c r="E45" s="512">
        <f>H45</f>
        <v>999</v>
      </c>
      <c r="F45" s="512">
        <f>SUM(G45:H45)</f>
        <v>999</v>
      </c>
      <c r="G45" s="512">
        <v>0</v>
      </c>
      <c r="H45" s="621">
        <v>999</v>
      </c>
      <c r="I45" s="509">
        <f>I46</f>
        <v>0</v>
      </c>
      <c r="J45" s="509"/>
      <c r="K45" s="509"/>
      <c r="L45" s="509"/>
    </row>
    <row r="46" spans="1:12" ht="60">
      <c r="A46" s="502" t="s">
        <v>15</v>
      </c>
      <c r="B46" s="508" t="s">
        <v>552</v>
      </c>
      <c r="C46" s="536">
        <f aca="true" t="shared" si="7" ref="C46:H46">C47</f>
        <v>20</v>
      </c>
      <c r="D46" s="536">
        <f t="shared" si="7"/>
        <v>0</v>
      </c>
      <c r="E46" s="536">
        <f t="shared" si="7"/>
        <v>20</v>
      </c>
      <c r="F46" s="536">
        <f t="shared" si="7"/>
        <v>20</v>
      </c>
      <c r="G46" s="536">
        <f t="shared" si="7"/>
        <v>0</v>
      </c>
      <c r="H46" s="620">
        <f t="shared" si="7"/>
        <v>20</v>
      </c>
      <c r="I46" s="509">
        <f>I47</f>
        <v>0</v>
      </c>
      <c r="J46" s="528"/>
      <c r="K46" s="528">
        <f>K47</f>
        <v>0</v>
      </c>
      <c r="L46" s="528"/>
    </row>
    <row r="47" spans="1:12" ht="40.5" customHeight="1">
      <c r="A47" s="217">
        <v>1</v>
      </c>
      <c r="B47" s="519" t="s">
        <v>553</v>
      </c>
      <c r="C47" s="528">
        <f>SUM(D47:E47)</f>
        <v>20</v>
      </c>
      <c r="D47" s="528">
        <f>G47+J47</f>
        <v>0</v>
      </c>
      <c r="E47" s="528">
        <f>H47+K47</f>
        <v>20</v>
      </c>
      <c r="F47" s="515">
        <f>SUM(G47:H47)</f>
        <v>20</v>
      </c>
      <c r="G47" s="527">
        <v>0</v>
      </c>
      <c r="H47" s="527">
        <v>20</v>
      </c>
      <c r="I47" s="509">
        <f>I48</f>
        <v>0</v>
      </c>
      <c r="J47" s="527"/>
      <c r="K47" s="512"/>
      <c r="L47" s="505"/>
    </row>
    <row r="53" spans="1:12" ht="99" customHeight="1">
      <c r="A53" s="857" t="s">
        <v>649</v>
      </c>
      <c r="B53" s="857"/>
      <c r="C53" s="857"/>
      <c r="D53" s="857"/>
      <c r="E53" s="857"/>
      <c r="F53" s="857"/>
      <c r="G53" s="857"/>
      <c r="H53" s="857"/>
      <c r="I53" s="857"/>
      <c r="J53" s="857"/>
      <c r="K53" s="857"/>
      <c r="L53" s="857"/>
    </row>
    <row r="54" spans="1:12" ht="17.25">
      <c r="A54" s="857" t="s">
        <v>556</v>
      </c>
      <c r="B54" s="857"/>
      <c r="C54" s="857"/>
      <c r="D54" s="857"/>
      <c r="E54" s="857"/>
      <c r="F54" s="857"/>
      <c r="G54" s="857"/>
      <c r="H54" s="857"/>
      <c r="I54" s="857"/>
      <c r="J54" s="857"/>
      <c r="K54" s="857"/>
      <c r="L54" s="857"/>
    </row>
    <row r="55" spans="1:12" ht="18">
      <c r="A55" s="506"/>
      <c r="B55" s="507"/>
      <c r="C55" s="507"/>
      <c r="D55" s="507"/>
      <c r="E55" s="507"/>
      <c r="F55" s="507"/>
      <c r="G55" s="507"/>
      <c r="H55" s="593"/>
      <c r="I55" s="845" t="s">
        <v>532</v>
      </c>
      <c r="J55" s="845"/>
      <c r="K55" s="845"/>
      <c r="L55" s="845"/>
    </row>
    <row r="56" spans="1:12" ht="15">
      <c r="A56" s="846" t="s">
        <v>549</v>
      </c>
      <c r="B56" s="849" t="s">
        <v>541</v>
      </c>
      <c r="C56" s="852" t="s">
        <v>542</v>
      </c>
      <c r="D56" s="853"/>
      <c r="E56" s="853"/>
      <c r="F56" s="853"/>
      <c r="G56" s="853"/>
      <c r="H56" s="853"/>
      <c r="I56" s="853"/>
      <c r="J56" s="853"/>
      <c r="K56" s="853"/>
      <c r="L56" s="844" t="s">
        <v>216</v>
      </c>
    </row>
    <row r="57" spans="1:12" ht="15">
      <c r="A57" s="847"/>
      <c r="B57" s="850"/>
      <c r="C57" s="854" t="s">
        <v>447</v>
      </c>
      <c r="D57" s="855"/>
      <c r="E57" s="856"/>
      <c r="F57" s="854" t="s">
        <v>498</v>
      </c>
      <c r="G57" s="855"/>
      <c r="H57" s="856"/>
      <c r="I57" s="854" t="s">
        <v>543</v>
      </c>
      <c r="J57" s="855"/>
      <c r="K57" s="856"/>
      <c r="L57" s="844"/>
    </row>
    <row r="58" spans="1:12" ht="15">
      <c r="A58" s="847"/>
      <c r="B58" s="850"/>
      <c r="C58" s="844" t="s">
        <v>447</v>
      </c>
      <c r="D58" s="844" t="s">
        <v>501</v>
      </c>
      <c r="E58" s="844"/>
      <c r="F58" s="844" t="s">
        <v>447</v>
      </c>
      <c r="G58" s="844" t="s">
        <v>501</v>
      </c>
      <c r="H58" s="844"/>
      <c r="I58" s="844" t="s">
        <v>447</v>
      </c>
      <c r="J58" s="844" t="s">
        <v>501</v>
      </c>
      <c r="K58" s="844"/>
      <c r="L58" s="844"/>
    </row>
    <row r="59" spans="1:12" ht="30">
      <c r="A59" s="848"/>
      <c r="B59" s="851"/>
      <c r="C59" s="844"/>
      <c r="D59" s="177" t="s">
        <v>503</v>
      </c>
      <c r="E59" s="177" t="s">
        <v>479</v>
      </c>
      <c r="F59" s="844"/>
      <c r="G59" s="177" t="s">
        <v>503</v>
      </c>
      <c r="H59" s="553" t="s">
        <v>479</v>
      </c>
      <c r="I59" s="844"/>
      <c r="J59" s="177" t="s">
        <v>503</v>
      </c>
      <c r="K59" s="177" t="s">
        <v>479</v>
      </c>
      <c r="L59" s="177"/>
    </row>
    <row r="60" spans="1:12" ht="15">
      <c r="A60" s="214"/>
      <c r="B60" s="214" t="s">
        <v>544</v>
      </c>
      <c r="C60" s="535">
        <f>C61</f>
        <v>2757</v>
      </c>
      <c r="D60" s="535">
        <f aca="true" t="shared" si="8" ref="D60:K60">D61</f>
        <v>2422</v>
      </c>
      <c r="E60" s="535">
        <f t="shared" si="8"/>
        <v>335</v>
      </c>
      <c r="F60" s="535">
        <f t="shared" si="8"/>
        <v>2757</v>
      </c>
      <c r="G60" s="535">
        <f t="shared" si="8"/>
        <v>2422</v>
      </c>
      <c r="H60" s="619">
        <f t="shared" si="8"/>
        <v>335</v>
      </c>
      <c r="I60" s="535">
        <f t="shared" si="8"/>
        <v>0</v>
      </c>
      <c r="J60" s="535">
        <f t="shared" si="8"/>
        <v>0</v>
      </c>
      <c r="K60" s="535">
        <f t="shared" si="8"/>
        <v>0</v>
      </c>
      <c r="L60" s="177"/>
    </row>
    <row r="61" spans="1:12" ht="60">
      <c r="A61" s="502" t="s">
        <v>13</v>
      </c>
      <c r="B61" s="508" t="s">
        <v>552</v>
      </c>
      <c r="C61" s="627">
        <f>C62</f>
        <v>2757</v>
      </c>
      <c r="D61" s="627">
        <f aca="true" t="shared" si="9" ref="D61:K61">D62</f>
        <v>2422</v>
      </c>
      <c r="E61" s="627">
        <f t="shared" si="9"/>
        <v>335</v>
      </c>
      <c r="F61" s="627">
        <f t="shared" si="9"/>
        <v>2757</v>
      </c>
      <c r="G61" s="627">
        <f t="shared" si="9"/>
        <v>2422</v>
      </c>
      <c r="H61" s="628">
        <f t="shared" si="9"/>
        <v>335</v>
      </c>
      <c r="I61" s="509">
        <f t="shared" si="9"/>
        <v>0</v>
      </c>
      <c r="J61" s="509">
        <f t="shared" si="9"/>
        <v>0</v>
      </c>
      <c r="K61" s="509">
        <f t="shared" si="9"/>
        <v>0</v>
      </c>
      <c r="L61" s="509"/>
    </row>
    <row r="62" spans="1:12" ht="46.5">
      <c r="A62" s="510">
        <v>1</v>
      </c>
      <c r="B62" s="511" t="s">
        <v>530</v>
      </c>
      <c r="C62" s="629">
        <f>SUM(D62:E62)</f>
        <v>2757</v>
      </c>
      <c r="D62" s="629">
        <f>G62</f>
        <v>2422</v>
      </c>
      <c r="E62" s="629">
        <f>H62</f>
        <v>335</v>
      </c>
      <c r="F62" s="629">
        <f>SUM(G62:H62)</f>
        <v>2757</v>
      </c>
      <c r="G62" s="629">
        <v>2422</v>
      </c>
      <c r="H62" s="630">
        <v>335</v>
      </c>
      <c r="I62" s="509"/>
      <c r="J62" s="509"/>
      <c r="K62" s="509"/>
      <c r="L62" s="509"/>
    </row>
    <row r="64" ht="0.75" customHeight="1"/>
    <row r="65" ht="0.75" customHeight="1"/>
    <row r="66" ht="0.75" customHeight="1"/>
    <row r="67" ht="0.75" customHeight="1"/>
    <row r="68" ht="0.75" customHeight="1"/>
    <row r="69" ht="0.75" customHeight="1"/>
    <row r="70" ht="0.75" customHeight="1"/>
    <row r="81" spans="1:12" ht="91.5" customHeight="1">
      <c r="A81" s="857" t="s">
        <v>649</v>
      </c>
      <c r="B81" s="857"/>
      <c r="C81" s="857"/>
      <c r="D81" s="857"/>
      <c r="E81" s="857"/>
      <c r="F81" s="857"/>
      <c r="G81" s="857"/>
      <c r="H81" s="857"/>
      <c r="I81" s="857"/>
      <c r="J81" s="857"/>
      <c r="K81" s="857"/>
      <c r="L81" s="857"/>
    </row>
    <row r="82" spans="1:12" ht="17.25">
      <c r="A82" s="857" t="s">
        <v>651</v>
      </c>
      <c r="B82" s="857"/>
      <c r="C82" s="857"/>
      <c r="D82" s="857"/>
      <c r="E82" s="857"/>
      <c r="F82" s="857"/>
      <c r="G82" s="857"/>
      <c r="H82" s="857"/>
      <c r="I82" s="857"/>
      <c r="J82" s="857"/>
      <c r="K82" s="857"/>
      <c r="L82" s="857"/>
    </row>
    <row r="83" spans="1:12" ht="18">
      <c r="A83" s="506"/>
      <c r="B83" s="507"/>
      <c r="C83" s="507"/>
      <c r="D83" s="507"/>
      <c r="E83" s="507"/>
      <c r="F83" s="507"/>
      <c r="G83" s="507"/>
      <c r="H83" s="593"/>
      <c r="I83" s="845" t="s">
        <v>532</v>
      </c>
      <c r="J83" s="845"/>
      <c r="K83" s="845"/>
      <c r="L83" s="845"/>
    </row>
    <row r="84" spans="1:12" ht="15">
      <c r="A84" s="846" t="s">
        <v>549</v>
      </c>
      <c r="B84" s="849" t="s">
        <v>541</v>
      </c>
      <c r="C84" s="852" t="s">
        <v>542</v>
      </c>
      <c r="D84" s="853"/>
      <c r="E84" s="853"/>
      <c r="F84" s="853"/>
      <c r="G84" s="853"/>
      <c r="H84" s="853"/>
      <c r="I84" s="853"/>
      <c r="J84" s="853"/>
      <c r="K84" s="853"/>
      <c r="L84" s="844" t="s">
        <v>216</v>
      </c>
    </row>
    <row r="85" spans="1:12" ht="15">
      <c r="A85" s="847"/>
      <c r="B85" s="850"/>
      <c r="C85" s="854" t="s">
        <v>447</v>
      </c>
      <c r="D85" s="855"/>
      <c r="E85" s="856"/>
      <c r="F85" s="854" t="s">
        <v>498</v>
      </c>
      <c r="G85" s="855"/>
      <c r="H85" s="856"/>
      <c r="I85" s="854" t="s">
        <v>543</v>
      </c>
      <c r="J85" s="855"/>
      <c r="K85" s="856"/>
      <c r="L85" s="844"/>
    </row>
    <row r="86" spans="1:12" ht="15">
      <c r="A86" s="847"/>
      <c r="B86" s="850"/>
      <c r="C86" s="844" t="s">
        <v>447</v>
      </c>
      <c r="D86" s="844" t="s">
        <v>501</v>
      </c>
      <c r="E86" s="844"/>
      <c r="F86" s="844" t="s">
        <v>447</v>
      </c>
      <c r="G86" s="844" t="s">
        <v>501</v>
      </c>
      <c r="H86" s="844"/>
      <c r="I86" s="844" t="s">
        <v>447</v>
      </c>
      <c r="J86" s="844" t="s">
        <v>501</v>
      </c>
      <c r="K86" s="844"/>
      <c r="L86" s="844"/>
    </row>
    <row r="87" spans="1:12" ht="30">
      <c r="A87" s="848"/>
      <c r="B87" s="851"/>
      <c r="C87" s="844"/>
      <c r="D87" s="177" t="s">
        <v>503</v>
      </c>
      <c r="E87" s="177" t="s">
        <v>479</v>
      </c>
      <c r="F87" s="844"/>
      <c r="G87" s="177" t="s">
        <v>503</v>
      </c>
      <c r="H87" s="553" t="s">
        <v>479</v>
      </c>
      <c r="I87" s="844"/>
      <c r="J87" s="177" t="s">
        <v>503</v>
      </c>
      <c r="K87" s="177" t="s">
        <v>479</v>
      </c>
      <c r="L87" s="177"/>
    </row>
    <row r="88" spans="1:12" ht="15">
      <c r="A88" s="214"/>
      <c r="B88" s="214" t="s">
        <v>544</v>
      </c>
      <c r="C88" s="535">
        <f aca="true" t="shared" si="10" ref="C88:K89">C89</f>
        <v>2757</v>
      </c>
      <c r="D88" s="535">
        <f t="shared" si="10"/>
        <v>2422</v>
      </c>
      <c r="E88" s="535">
        <f t="shared" si="10"/>
        <v>335</v>
      </c>
      <c r="F88" s="535">
        <f t="shared" si="10"/>
        <v>2757</v>
      </c>
      <c r="G88" s="535">
        <f t="shared" si="10"/>
        <v>2422</v>
      </c>
      <c r="H88" s="619">
        <f t="shared" si="10"/>
        <v>335</v>
      </c>
      <c r="I88" s="535">
        <f t="shared" si="10"/>
        <v>0</v>
      </c>
      <c r="J88" s="535">
        <f t="shared" si="10"/>
        <v>0</v>
      </c>
      <c r="K88" s="535">
        <f t="shared" si="10"/>
        <v>0</v>
      </c>
      <c r="L88" s="177"/>
    </row>
    <row r="89" spans="1:12" ht="60">
      <c r="A89" s="502" t="s">
        <v>13</v>
      </c>
      <c r="B89" s="508" t="s">
        <v>552</v>
      </c>
      <c r="C89" s="627">
        <f t="shared" si="10"/>
        <v>2757</v>
      </c>
      <c r="D89" s="627">
        <f t="shared" si="10"/>
        <v>2422</v>
      </c>
      <c r="E89" s="627">
        <f t="shared" si="10"/>
        <v>335</v>
      </c>
      <c r="F89" s="627">
        <f t="shared" si="10"/>
        <v>2757</v>
      </c>
      <c r="G89" s="627">
        <f t="shared" si="10"/>
        <v>2422</v>
      </c>
      <c r="H89" s="628">
        <f t="shared" si="10"/>
        <v>335</v>
      </c>
      <c r="I89" s="509">
        <f t="shared" si="10"/>
        <v>0</v>
      </c>
      <c r="J89" s="509">
        <f t="shared" si="10"/>
        <v>0</v>
      </c>
      <c r="K89" s="509">
        <f t="shared" si="10"/>
        <v>0</v>
      </c>
      <c r="L89" s="509"/>
    </row>
    <row r="90" spans="1:12" ht="46.5">
      <c r="A90" s="510">
        <v>1</v>
      </c>
      <c r="B90" s="511" t="s">
        <v>530</v>
      </c>
      <c r="C90" s="629">
        <f>SUM(D90:E90)</f>
        <v>2757</v>
      </c>
      <c r="D90" s="629">
        <f>G90</f>
        <v>2422</v>
      </c>
      <c r="E90" s="629">
        <f>H90</f>
        <v>335</v>
      </c>
      <c r="F90" s="629">
        <f>SUM(G90:H90)</f>
        <v>2757</v>
      </c>
      <c r="G90" s="629">
        <v>2422</v>
      </c>
      <c r="H90" s="630">
        <v>335</v>
      </c>
      <c r="I90" s="509"/>
      <c r="J90" s="509"/>
      <c r="K90" s="509"/>
      <c r="L90" s="509"/>
    </row>
    <row r="105" spans="1:12" ht="94.5" customHeight="1">
      <c r="A105" s="857" t="s">
        <v>649</v>
      </c>
      <c r="B105" s="857"/>
      <c r="C105" s="857"/>
      <c r="D105" s="857"/>
      <c r="E105" s="857"/>
      <c r="F105" s="857"/>
      <c r="G105" s="857"/>
      <c r="H105" s="857"/>
      <c r="I105" s="857"/>
      <c r="J105" s="857"/>
      <c r="K105" s="857"/>
      <c r="L105" s="857"/>
    </row>
    <row r="106" spans="1:12" ht="17.25">
      <c r="A106" s="857" t="s">
        <v>580</v>
      </c>
      <c r="B106" s="857"/>
      <c r="C106" s="857"/>
      <c r="D106" s="857"/>
      <c r="E106" s="857"/>
      <c r="F106" s="857"/>
      <c r="G106" s="857"/>
      <c r="H106" s="857"/>
      <c r="I106" s="857"/>
      <c r="J106" s="857"/>
      <c r="K106" s="857"/>
      <c r="L106" s="857"/>
    </row>
    <row r="107" spans="1:12" ht="18">
      <c r="A107" s="506"/>
      <c r="B107" s="507"/>
      <c r="C107" s="507"/>
      <c r="D107" s="507"/>
      <c r="E107" s="507"/>
      <c r="F107" s="507"/>
      <c r="G107" s="507"/>
      <c r="H107" s="593"/>
      <c r="I107" s="845" t="s">
        <v>532</v>
      </c>
      <c r="J107" s="845"/>
      <c r="K107" s="845"/>
      <c r="L107" s="845"/>
    </row>
    <row r="108" spans="1:12" ht="15">
      <c r="A108" s="846" t="s">
        <v>549</v>
      </c>
      <c r="B108" s="849" t="s">
        <v>541</v>
      </c>
      <c r="C108" s="852" t="s">
        <v>542</v>
      </c>
      <c r="D108" s="853"/>
      <c r="E108" s="853"/>
      <c r="F108" s="853"/>
      <c r="G108" s="853"/>
      <c r="H108" s="853"/>
      <c r="I108" s="853"/>
      <c r="J108" s="853"/>
      <c r="K108" s="853"/>
      <c r="L108" s="844" t="s">
        <v>216</v>
      </c>
    </row>
    <row r="109" spans="1:12" ht="15">
      <c r="A109" s="847"/>
      <c r="B109" s="850"/>
      <c r="C109" s="854" t="s">
        <v>447</v>
      </c>
      <c r="D109" s="855"/>
      <c r="E109" s="856"/>
      <c r="F109" s="854" t="s">
        <v>498</v>
      </c>
      <c r="G109" s="855"/>
      <c r="H109" s="856"/>
      <c r="I109" s="854" t="s">
        <v>543</v>
      </c>
      <c r="J109" s="855"/>
      <c r="K109" s="856"/>
      <c r="L109" s="844"/>
    </row>
    <row r="110" spans="1:12" ht="15">
      <c r="A110" s="847"/>
      <c r="B110" s="850"/>
      <c r="C110" s="844" t="s">
        <v>447</v>
      </c>
      <c r="D110" s="844" t="s">
        <v>501</v>
      </c>
      <c r="E110" s="844"/>
      <c r="F110" s="844" t="s">
        <v>447</v>
      </c>
      <c r="G110" s="844" t="s">
        <v>501</v>
      </c>
      <c r="H110" s="844"/>
      <c r="I110" s="844" t="s">
        <v>447</v>
      </c>
      <c r="J110" s="844" t="s">
        <v>501</v>
      </c>
      <c r="K110" s="844"/>
      <c r="L110" s="844"/>
    </row>
    <row r="111" spans="1:12" ht="30">
      <c r="A111" s="848"/>
      <c r="B111" s="851"/>
      <c r="C111" s="844"/>
      <c r="D111" s="177" t="s">
        <v>503</v>
      </c>
      <c r="E111" s="177" t="s">
        <v>479</v>
      </c>
      <c r="F111" s="844"/>
      <c r="G111" s="177" t="s">
        <v>503</v>
      </c>
      <c r="H111" s="553" t="s">
        <v>479</v>
      </c>
      <c r="I111" s="844"/>
      <c r="J111" s="177" t="s">
        <v>503</v>
      </c>
      <c r="K111" s="177" t="s">
        <v>479</v>
      </c>
      <c r="L111" s="177"/>
    </row>
    <row r="112" spans="1:12" ht="15">
      <c r="A112" s="214"/>
      <c r="B112" s="214" t="s">
        <v>544</v>
      </c>
      <c r="C112" s="637">
        <f>C113+C117+C120+C122</f>
        <v>7884</v>
      </c>
      <c r="D112" s="637">
        <f aca="true" t="shared" si="11" ref="D112:L112">D113+D117+D120+D122</f>
        <v>0</v>
      </c>
      <c r="E112" s="637">
        <f t="shared" si="11"/>
        <v>7884</v>
      </c>
      <c r="F112" s="637">
        <f t="shared" si="11"/>
        <v>6299</v>
      </c>
      <c r="G112" s="637">
        <f t="shared" si="11"/>
        <v>0</v>
      </c>
      <c r="H112" s="638">
        <f t="shared" si="11"/>
        <v>6299</v>
      </c>
      <c r="I112" s="637">
        <f t="shared" si="11"/>
        <v>1585</v>
      </c>
      <c r="J112" s="637">
        <f t="shared" si="11"/>
        <v>0</v>
      </c>
      <c r="K112" s="637">
        <f t="shared" si="11"/>
        <v>1585</v>
      </c>
      <c r="L112" s="637">
        <f t="shared" si="11"/>
        <v>0</v>
      </c>
    </row>
    <row r="113" spans="1:12" ht="45">
      <c r="A113" s="214" t="s">
        <v>13</v>
      </c>
      <c r="B113" s="517" t="s">
        <v>514</v>
      </c>
      <c r="C113" s="627">
        <f>SUM(D113:E113)</f>
        <v>571</v>
      </c>
      <c r="D113" s="627">
        <f>G113+J113</f>
        <v>0</v>
      </c>
      <c r="E113" s="627">
        <f>H113+K113</f>
        <v>571</v>
      </c>
      <c r="F113" s="627">
        <f>SUM(G113:H113)</f>
        <v>571</v>
      </c>
      <c r="G113" s="627"/>
      <c r="H113" s="634">
        <f>H114</f>
        <v>571</v>
      </c>
      <c r="I113" s="627">
        <f>SUM(J113:K113)</f>
        <v>0</v>
      </c>
      <c r="J113" s="627"/>
      <c r="K113" s="627"/>
      <c r="L113" s="627"/>
    </row>
    <row r="114" spans="1:12" ht="60">
      <c r="A114" s="214">
        <v>1</v>
      </c>
      <c r="B114" s="544" t="s">
        <v>516</v>
      </c>
      <c r="C114" s="627">
        <f aca="true" t="shared" si="12" ref="C114:C126">SUM(D114:E114)</f>
        <v>571</v>
      </c>
      <c r="D114" s="627">
        <f aca="true" t="shared" si="13" ref="D114:D126">G114+J114</f>
        <v>0</v>
      </c>
      <c r="E114" s="627">
        <f aca="true" t="shared" si="14" ref="E114:E126">H114+K114</f>
        <v>571</v>
      </c>
      <c r="F114" s="627">
        <f aca="true" t="shared" si="15" ref="F114:F126">SUM(G114:H114)</f>
        <v>571</v>
      </c>
      <c r="G114" s="629"/>
      <c r="H114" s="634">
        <f>H115</f>
        <v>571</v>
      </c>
      <c r="I114" s="627">
        <f aca="true" t="shared" si="16" ref="I114:I125">SUM(J114:K114)</f>
        <v>0</v>
      </c>
      <c r="J114" s="627"/>
      <c r="K114" s="627"/>
      <c r="L114" s="627"/>
    </row>
    <row r="115" spans="1:12" ht="46.5">
      <c r="A115" s="217" t="s">
        <v>511</v>
      </c>
      <c r="B115" s="519" t="s">
        <v>581</v>
      </c>
      <c r="C115" s="629">
        <f t="shared" si="12"/>
        <v>571</v>
      </c>
      <c r="D115" s="629">
        <f t="shared" si="13"/>
        <v>0</v>
      </c>
      <c r="E115" s="629">
        <f t="shared" si="14"/>
        <v>571</v>
      </c>
      <c r="F115" s="629">
        <f t="shared" si="15"/>
        <v>571</v>
      </c>
      <c r="G115" s="631"/>
      <c r="H115" s="632">
        <f>SUM(H116:H116)</f>
        <v>571</v>
      </c>
      <c r="I115" s="627">
        <f t="shared" si="16"/>
        <v>0</v>
      </c>
      <c r="J115" s="633"/>
      <c r="K115" s="633"/>
      <c r="L115" s="633"/>
    </row>
    <row r="116" spans="1:12" ht="30.75">
      <c r="A116" s="217" t="s">
        <v>582</v>
      </c>
      <c r="B116" s="519" t="s">
        <v>583</v>
      </c>
      <c r="C116" s="629">
        <f t="shared" si="12"/>
        <v>571</v>
      </c>
      <c r="D116" s="629">
        <f t="shared" si="13"/>
        <v>0</v>
      </c>
      <c r="E116" s="629">
        <f t="shared" si="14"/>
        <v>571</v>
      </c>
      <c r="F116" s="629">
        <f t="shared" si="15"/>
        <v>571</v>
      </c>
      <c r="G116" s="631"/>
      <c r="H116" s="632">
        <v>571</v>
      </c>
      <c r="I116" s="627">
        <f t="shared" si="16"/>
        <v>0</v>
      </c>
      <c r="J116" s="633"/>
      <c r="K116" s="633"/>
      <c r="L116" s="633"/>
    </row>
    <row r="117" spans="1:12" ht="30">
      <c r="A117" s="214" t="s">
        <v>15</v>
      </c>
      <c r="B117" s="517" t="s">
        <v>354</v>
      </c>
      <c r="C117" s="627">
        <f t="shared" si="12"/>
        <v>3926</v>
      </c>
      <c r="D117" s="627">
        <f t="shared" si="13"/>
        <v>0</v>
      </c>
      <c r="E117" s="627">
        <f t="shared" si="14"/>
        <v>3926</v>
      </c>
      <c r="F117" s="627">
        <f t="shared" si="15"/>
        <v>3926</v>
      </c>
      <c r="G117" s="633"/>
      <c r="H117" s="634">
        <f>SUM(H118:H119)</f>
        <v>3926</v>
      </c>
      <c r="I117" s="627">
        <f t="shared" si="16"/>
        <v>0</v>
      </c>
      <c r="J117" s="633"/>
      <c r="K117" s="633"/>
      <c r="L117" s="633"/>
    </row>
    <row r="118" spans="1:12" ht="77.25">
      <c r="A118" s="217">
        <v>1</v>
      </c>
      <c r="B118" s="518" t="s">
        <v>519</v>
      </c>
      <c r="C118" s="629">
        <f t="shared" si="12"/>
        <v>1660</v>
      </c>
      <c r="D118" s="629">
        <f t="shared" si="13"/>
        <v>0</v>
      </c>
      <c r="E118" s="629">
        <f t="shared" si="14"/>
        <v>1660</v>
      </c>
      <c r="F118" s="629">
        <f t="shared" si="15"/>
        <v>1660</v>
      </c>
      <c r="G118" s="631"/>
      <c r="H118" s="632">
        <v>1660</v>
      </c>
      <c r="I118" s="629">
        <f t="shared" si="16"/>
        <v>0</v>
      </c>
      <c r="J118" s="633"/>
      <c r="K118" s="633"/>
      <c r="L118" s="633"/>
    </row>
    <row r="119" spans="1:12" ht="30.75">
      <c r="A119" s="217">
        <v>2</v>
      </c>
      <c r="B119" s="518" t="s">
        <v>521</v>
      </c>
      <c r="C119" s="629">
        <f t="shared" si="12"/>
        <v>2266</v>
      </c>
      <c r="D119" s="629">
        <f t="shared" si="13"/>
        <v>0</v>
      </c>
      <c r="E119" s="629">
        <f t="shared" si="14"/>
        <v>2266</v>
      </c>
      <c r="F119" s="629">
        <f t="shared" si="15"/>
        <v>2266</v>
      </c>
      <c r="G119" s="631"/>
      <c r="H119" s="632">
        <v>2266</v>
      </c>
      <c r="I119" s="629">
        <f t="shared" si="16"/>
        <v>0</v>
      </c>
      <c r="J119" s="633"/>
      <c r="K119" s="633"/>
      <c r="L119" s="633"/>
    </row>
    <row r="120" spans="1:12" ht="45">
      <c r="A120" s="502" t="s">
        <v>12</v>
      </c>
      <c r="B120" s="508" t="s">
        <v>527</v>
      </c>
      <c r="C120" s="627">
        <f t="shared" si="12"/>
        <v>448</v>
      </c>
      <c r="D120" s="627">
        <f t="shared" si="13"/>
        <v>0</v>
      </c>
      <c r="E120" s="627">
        <f t="shared" si="14"/>
        <v>448</v>
      </c>
      <c r="F120" s="627">
        <f t="shared" si="15"/>
        <v>448</v>
      </c>
      <c r="G120" s="633"/>
      <c r="H120" s="634">
        <f>H121</f>
        <v>448</v>
      </c>
      <c r="I120" s="627">
        <f t="shared" si="16"/>
        <v>0</v>
      </c>
      <c r="J120" s="633"/>
      <c r="K120" s="633"/>
      <c r="L120" s="633"/>
    </row>
    <row r="121" spans="1:12" s="3" customFormat="1" ht="30.75">
      <c r="A121" s="510">
        <v>1</v>
      </c>
      <c r="B121" s="511" t="s">
        <v>528</v>
      </c>
      <c r="C121" s="629">
        <f t="shared" si="12"/>
        <v>448</v>
      </c>
      <c r="D121" s="629">
        <f t="shared" si="13"/>
        <v>0</v>
      </c>
      <c r="E121" s="629">
        <f t="shared" si="14"/>
        <v>448</v>
      </c>
      <c r="F121" s="629">
        <f t="shared" si="15"/>
        <v>448</v>
      </c>
      <c r="G121" s="631"/>
      <c r="H121" s="632">
        <v>448</v>
      </c>
      <c r="I121" s="627">
        <f t="shared" si="16"/>
        <v>0</v>
      </c>
      <c r="J121" s="633"/>
      <c r="K121" s="633"/>
      <c r="L121" s="633"/>
    </row>
    <row r="122" spans="1:12" s="3" customFormat="1" ht="60">
      <c r="A122" s="502" t="s">
        <v>16</v>
      </c>
      <c r="B122" s="508" t="s">
        <v>552</v>
      </c>
      <c r="C122" s="627">
        <f>C123+C126</f>
        <v>2939</v>
      </c>
      <c r="D122" s="627">
        <f aca="true" t="shared" si="17" ref="D122:K122">D123+D126</f>
        <v>0</v>
      </c>
      <c r="E122" s="627">
        <f t="shared" si="17"/>
        <v>2939</v>
      </c>
      <c r="F122" s="627">
        <f t="shared" si="17"/>
        <v>1354</v>
      </c>
      <c r="G122" s="627">
        <f t="shared" si="17"/>
        <v>0</v>
      </c>
      <c r="H122" s="627">
        <f t="shared" si="17"/>
        <v>1354</v>
      </c>
      <c r="I122" s="627">
        <f t="shared" si="17"/>
        <v>1585</v>
      </c>
      <c r="J122" s="627">
        <f t="shared" si="17"/>
        <v>0</v>
      </c>
      <c r="K122" s="627">
        <f t="shared" si="17"/>
        <v>1585</v>
      </c>
      <c r="L122" s="641"/>
    </row>
    <row r="123" spans="1:12" s="3" customFormat="1" ht="46.5">
      <c r="A123" s="510">
        <v>1</v>
      </c>
      <c r="B123" s="522" t="s">
        <v>529</v>
      </c>
      <c r="C123" s="629">
        <f>C124+C125</f>
        <v>2398</v>
      </c>
      <c r="D123" s="629">
        <f aca="true" t="shared" si="18" ref="D123:K123">D124+D125</f>
        <v>0</v>
      </c>
      <c r="E123" s="629">
        <f t="shared" si="18"/>
        <v>2398</v>
      </c>
      <c r="F123" s="629">
        <f t="shared" si="18"/>
        <v>1213</v>
      </c>
      <c r="G123" s="629">
        <f t="shared" si="18"/>
        <v>0</v>
      </c>
      <c r="H123" s="629">
        <f>H124+H125</f>
        <v>1213</v>
      </c>
      <c r="I123" s="629">
        <f t="shared" si="18"/>
        <v>1185</v>
      </c>
      <c r="J123" s="629">
        <f t="shared" si="18"/>
        <v>0</v>
      </c>
      <c r="K123" s="629">
        <f t="shared" si="18"/>
        <v>1185</v>
      </c>
      <c r="L123" s="631"/>
    </row>
    <row r="124" spans="1:12" s="3" customFormat="1" ht="30.75">
      <c r="A124" s="510" t="s">
        <v>509</v>
      </c>
      <c r="B124" s="504" t="s">
        <v>585</v>
      </c>
      <c r="C124" s="629">
        <f t="shared" si="12"/>
        <v>1405</v>
      </c>
      <c r="D124" s="629">
        <f t="shared" si="13"/>
        <v>0</v>
      </c>
      <c r="E124" s="629">
        <f>H124+K124</f>
        <v>1405</v>
      </c>
      <c r="F124" s="629">
        <f t="shared" si="15"/>
        <v>220</v>
      </c>
      <c r="G124" s="631"/>
      <c r="H124" s="632">
        <v>220</v>
      </c>
      <c r="I124" s="629">
        <f t="shared" si="16"/>
        <v>1185</v>
      </c>
      <c r="J124" s="631"/>
      <c r="K124" s="631">
        <v>1185</v>
      </c>
      <c r="L124" s="631"/>
    </row>
    <row r="125" spans="1:12" s="3" customFormat="1" ht="30.75">
      <c r="A125" s="510" t="s">
        <v>509</v>
      </c>
      <c r="B125" s="504" t="s">
        <v>584</v>
      </c>
      <c r="C125" s="629">
        <f t="shared" si="12"/>
        <v>993</v>
      </c>
      <c r="D125" s="629">
        <f t="shared" si="13"/>
        <v>0</v>
      </c>
      <c r="E125" s="629">
        <f t="shared" si="14"/>
        <v>993</v>
      </c>
      <c r="F125" s="629">
        <f t="shared" si="15"/>
        <v>993</v>
      </c>
      <c r="G125" s="631"/>
      <c r="H125" s="632">
        <v>993</v>
      </c>
      <c r="I125" s="629">
        <f t="shared" si="16"/>
        <v>0</v>
      </c>
      <c r="J125" s="631"/>
      <c r="K125" s="631"/>
      <c r="L125" s="631"/>
    </row>
    <row r="126" spans="1:12" s="3" customFormat="1" ht="30.75">
      <c r="A126" s="217">
        <v>2</v>
      </c>
      <c r="B126" s="519" t="s">
        <v>531</v>
      </c>
      <c r="C126" s="629">
        <f t="shared" si="12"/>
        <v>541</v>
      </c>
      <c r="D126" s="629">
        <f t="shared" si="13"/>
        <v>0</v>
      </c>
      <c r="E126" s="629">
        <f t="shared" si="14"/>
        <v>541</v>
      </c>
      <c r="F126" s="629">
        <f t="shared" si="15"/>
        <v>141</v>
      </c>
      <c r="G126" s="631"/>
      <c r="H126" s="632">
        <v>141</v>
      </c>
      <c r="I126" s="629">
        <f>SUM(J126:K126)</f>
        <v>400</v>
      </c>
      <c r="J126" s="631"/>
      <c r="K126" s="631">
        <v>400</v>
      </c>
      <c r="L126" s="631"/>
    </row>
    <row r="127" spans="3:12" s="3" customFormat="1" ht="15">
      <c r="C127" s="635"/>
      <c r="D127" s="639"/>
      <c r="E127" s="639"/>
      <c r="F127" s="635"/>
      <c r="G127" s="635"/>
      <c r="H127" s="636"/>
      <c r="I127" s="635"/>
      <c r="J127" s="635"/>
      <c r="K127" s="635"/>
      <c r="L127" s="635"/>
    </row>
    <row r="128" s="3" customFormat="1" ht="15">
      <c r="H128" s="622"/>
    </row>
    <row r="129" s="3" customFormat="1" ht="15">
      <c r="H129" s="622"/>
    </row>
    <row r="140" spans="1:12" ht="114.75" customHeight="1">
      <c r="A140" s="857" t="s">
        <v>649</v>
      </c>
      <c r="B140" s="857"/>
      <c r="C140" s="857"/>
      <c r="D140" s="857"/>
      <c r="E140" s="857"/>
      <c r="F140" s="857"/>
      <c r="G140" s="857"/>
      <c r="H140" s="857"/>
      <c r="I140" s="857"/>
      <c r="J140" s="857"/>
      <c r="K140" s="857"/>
      <c r="L140" s="857"/>
    </row>
    <row r="141" spans="1:12" ht="17.25">
      <c r="A141" s="857" t="s">
        <v>652</v>
      </c>
      <c r="B141" s="857"/>
      <c r="C141" s="857"/>
      <c r="D141" s="857"/>
      <c r="E141" s="857"/>
      <c r="F141" s="857"/>
      <c r="G141" s="857"/>
      <c r="H141" s="857"/>
      <c r="I141" s="857"/>
      <c r="J141" s="857"/>
      <c r="K141" s="857"/>
      <c r="L141" s="857"/>
    </row>
    <row r="142" spans="1:12" ht="18">
      <c r="A142" s="506"/>
      <c r="B142" s="507"/>
      <c r="C142" s="507"/>
      <c r="D142" s="507"/>
      <c r="E142" s="507"/>
      <c r="F142" s="507"/>
      <c r="G142" s="507"/>
      <c r="H142" s="593"/>
      <c r="I142" s="845" t="s">
        <v>532</v>
      </c>
      <c r="J142" s="845"/>
      <c r="K142" s="845"/>
      <c r="L142" s="845"/>
    </row>
    <row r="143" spans="1:12" ht="15">
      <c r="A143" s="846" t="s">
        <v>549</v>
      </c>
      <c r="B143" s="849" t="s">
        <v>541</v>
      </c>
      <c r="C143" s="852" t="s">
        <v>542</v>
      </c>
      <c r="D143" s="853"/>
      <c r="E143" s="853"/>
      <c r="F143" s="853"/>
      <c r="G143" s="853"/>
      <c r="H143" s="853"/>
      <c r="I143" s="853"/>
      <c r="J143" s="853"/>
      <c r="K143" s="853"/>
      <c r="L143" s="844" t="s">
        <v>216</v>
      </c>
    </row>
    <row r="144" spans="1:12" ht="15">
      <c r="A144" s="847"/>
      <c r="B144" s="850"/>
      <c r="C144" s="854" t="s">
        <v>447</v>
      </c>
      <c r="D144" s="855"/>
      <c r="E144" s="856"/>
      <c r="F144" s="854" t="s">
        <v>498</v>
      </c>
      <c r="G144" s="855"/>
      <c r="H144" s="856"/>
      <c r="I144" s="854" t="s">
        <v>543</v>
      </c>
      <c r="J144" s="855"/>
      <c r="K144" s="856"/>
      <c r="L144" s="844"/>
    </row>
    <row r="145" spans="1:12" ht="15">
      <c r="A145" s="847"/>
      <c r="B145" s="850"/>
      <c r="C145" s="844" t="s">
        <v>447</v>
      </c>
      <c r="D145" s="844" t="s">
        <v>501</v>
      </c>
      <c r="E145" s="844"/>
      <c r="F145" s="844" t="s">
        <v>447</v>
      </c>
      <c r="G145" s="844" t="s">
        <v>501</v>
      </c>
      <c r="H145" s="844"/>
      <c r="I145" s="844" t="s">
        <v>447</v>
      </c>
      <c r="J145" s="844" t="s">
        <v>501</v>
      </c>
      <c r="K145" s="844"/>
      <c r="L145" s="844"/>
    </row>
    <row r="146" spans="1:12" ht="30">
      <c r="A146" s="848"/>
      <c r="B146" s="851"/>
      <c r="C146" s="844"/>
      <c r="D146" s="177" t="s">
        <v>503</v>
      </c>
      <c r="E146" s="177" t="s">
        <v>479</v>
      </c>
      <c r="F146" s="844"/>
      <c r="G146" s="177" t="s">
        <v>503</v>
      </c>
      <c r="H146" s="553" t="s">
        <v>479</v>
      </c>
      <c r="I146" s="844"/>
      <c r="J146" s="177" t="s">
        <v>503</v>
      </c>
      <c r="K146" s="177" t="s">
        <v>479</v>
      </c>
      <c r="L146" s="177"/>
    </row>
    <row r="147" spans="1:12" ht="15">
      <c r="A147" s="214"/>
      <c r="B147" s="214" t="s">
        <v>544</v>
      </c>
      <c r="C147" s="535">
        <f>C148</f>
        <v>20</v>
      </c>
      <c r="D147" s="535">
        <f aca="true" t="shared" si="19" ref="D147:K147">D148</f>
        <v>0</v>
      </c>
      <c r="E147" s="535">
        <f t="shared" si="19"/>
        <v>20</v>
      </c>
      <c r="F147" s="535">
        <f t="shared" si="19"/>
        <v>20</v>
      </c>
      <c r="G147" s="535">
        <f t="shared" si="19"/>
        <v>0</v>
      </c>
      <c r="H147" s="619">
        <f t="shared" si="19"/>
        <v>20</v>
      </c>
      <c r="I147" s="535">
        <f t="shared" si="19"/>
        <v>0</v>
      </c>
      <c r="J147" s="535">
        <f t="shared" si="19"/>
        <v>0</v>
      </c>
      <c r="K147" s="535">
        <f t="shared" si="19"/>
        <v>0</v>
      </c>
      <c r="L147" s="535"/>
    </row>
    <row r="148" spans="1:12" ht="60">
      <c r="A148" s="502" t="s">
        <v>16</v>
      </c>
      <c r="B148" s="508" t="s">
        <v>552</v>
      </c>
      <c r="C148" s="509">
        <f>C149</f>
        <v>20</v>
      </c>
      <c r="D148" s="509">
        <f aca="true" t="shared" si="20" ref="D148:K148">D149</f>
        <v>0</v>
      </c>
      <c r="E148" s="509">
        <f t="shared" si="20"/>
        <v>20</v>
      </c>
      <c r="F148" s="509">
        <f t="shared" si="20"/>
        <v>20</v>
      </c>
      <c r="G148" s="509">
        <f t="shared" si="20"/>
        <v>0</v>
      </c>
      <c r="H148" s="617">
        <f t="shared" si="20"/>
        <v>20</v>
      </c>
      <c r="I148" s="509">
        <f t="shared" si="20"/>
        <v>0</v>
      </c>
      <c r="J148" s="509">
        <f t="shared" si="20"/>
        <v>0</v>
      </c>
      <c r="K148" s="509">
        <f t="shared" si="20"/>
        <v>0</v>
      </c>
      <c r="L148" s="242"/>
    </row>
    <row r="149" spans="1:12" ht="30.75">
      <c r="A149" s="217">
        <v>1</v>
      </c>
      <c r="B149" s="519" t="s">
        <v>531</v>
      </c>
      <c r="C149" s="512">
        <f>SUM(D149:E149)</f>
        <v>20</v>
      </c>
      <c r="D149" s="512">
        <f>G149+J149</f>
        <v>0</v>
      </c>
      <c r="E149" s="640">
        <f>H149+K149</f>
        <v>20</v>
      </c>
      <c r="F149" s="512">
        <f>SUM(G149:H149)</f>
        <v>20</v>
      </c>
      <c r="G149" s="243"/>
      <c r="H149" s="550">
        <v>20</v>
      </c>
      <c r="I149" s="512"/>
      <c r="J149" s="243"/>
      <c r="K149" s="243"/>
      <c r="L149" s="243"/>
    </row>
    <row r="164" spans="1:12" ht="94.5" customHeight="1">
      <c r="A164" s="857" t="s">
        <v>649</v>
      </c>
      <c r="B164" s="857"/>
      <c r="C164" s="857"/>
      <c r="D164" s="857"/>
      <c r="E164" s="857"/>
      <c r="F164" s="857"/>
      <c r="G164" s="857"/>
      <c r="H164" s="857"/>
      <c r="I164" s="857"/>
      <c r="J164" s="857"/>
      <c r="K164" s="857"/>
      <c r="L164" s="857"/>
    </row>
    <row r="165" spans="1:12" ht="17.25">
      <c r="A165" s="857" t="s">
        <v>653</v>
      </c>
      <c r="B165" s="857"/>
      <c r="C165" s="857"/>
      <c r="D165" s="857"/>
      <c r="E165" s="857"/>
      <c r="F165" s="857"/>
      <c r="G165" s="857"/>
      <c r="H165" s="857"/>
      <c r="I165" s="857"/>
      <c r="J165" s="857"/>
      <c r="K165" s="857"/>
      <c r="L165" s="857"/>
    </row>
    <row r="166" spans="1:12" ht="18">
      <c r="A166" s="506"/>
      <c r="B166" s="507"/>
      <c r="C166" s="507"/>
      <c r="D166" s="507"/>
      <c r="E166" s="507"/>
      <c r="F166" s="507"/>
      <c r="G166" s="507"/>
      <c r="H166" s="593"/>
      <c r="I166" s="845" t="s">
        <v>532</v>
      </c>
      <c r="J166" s="845"/>
      <c r="K166" s="845"/>
      <c r="L166" s="845"/>
    </row>
    <row r="167" spans="1:12" ht="15">
      <c r="A167" s="846" t="s">
        <v>549</v>
      </c>
      <c r="B167" s="849" t="s">
        <v>541</v>
      </c>
      <c r="C167" s="852" t="s">
        <v>542</v>
      </c>
      <c r="D167" s="853"/>
      <c r="E167" s="853"/>
      <c r="F167" s="853"/>
      <c r="G167" s="853"/>
      <c r="H167" s="853"/>
      <c r="I167" s="853"/>
      <c r="J167" s="853"/>
      <c r="K167" s="853"/>
      <c r="L167" s="844" t="s">
        <v>216</v>
      </c>
    </row>
    <row r="168" spans="1:12" ht="15">
      <c r="A168" s="847"/>
      <c r="B168" s="850"/>
      <c r="C168" s="854" t="s">
        <v>447</v>
      </c>
      <c r="D168" s="855"/>
      <c r="E168" s="856"/>
      <c r="F168" s="854" t="s">
        <v>498</v>
      </c>
      <c r="G168" s="855"/>
      <c r="H168" s="856"/>
      <c r="I168" s="854" t="s">
        <v>543</v>
      </c>
      <c r="J168" s="855"/>
      <c r="K168" s="856"/>
      <c r="L168" s="844"/>
    </row>
    <row r="169" spans="1:12" ht="15">
      <c r="A169" s="847"/>
      <c r="B169" s="850"/>
      <c r="C169" s="844" t="s">
        <v>447</v>
      </c>
      <c r="D169" s="844" t="s">
        <v>501</v>
      </c>
      <c r="E169" s="844"/>
      <c r="F169" s="844" t="s">
        <v>447</v>
      </c>
      <c r="G169" s="844" t="s">
        <v>501</v>
      </c>
      <c r="H169" s="844"/>
      <c r="I169" s="844" t="s">
        <v>447</v>
      </c>
      <c r="J169" s="844" t="s">
        <v>501</v>
      </c>
      <c r="K169" s="844"/>
      <c r="L169" s="844"/>
    </row>
    <row r="170" spans="1:12" ht="30">
      <c r="A170" s="848"/>
      <c r="B170" s="851"/>
      <c r="C170" s="844"/>
      <c r="D170" s="177" t="s">
        <v>503</v>
      </c>
      <c r="E170" s="177" t="s">
        <v>479</v>
      </c>
      <c r="F170" s="844"/>
      <c r="G170" s="177" t="s">
        <v>503</v>
      </c>
      <c r="H170" s="553" t="s">
        <v>479</v>
      </c>
      <c r="I170" s="844"/>
      <c r="J170" s="177" t="s">
        <v>503</v>
      </c>
      <c r="K170" s="177" t="s">
        <v>479</v>
      </c>
      <c r="L170" s="177"/>
    </row>
    <row r="171" spans="1:12" ht="15">
      <c r="A171" s="214"/>
      <c r="B171" s="214" t="s">
        <v>544</v>
      </c>
      <c r="C171" s="535">
        <f aca="true" t="shared" si="21" ref="C171:K172">C172</f>
        <v>20</v>
      </c>
      <c r="D171" s="535">
        <f t="shared" si="21"/>
        <v>0</v>
      </c>
      <c r="E171" s="535">
        <f t="shared" si="21"/>
        <v>20</v>
      </c>
      <c r="F171" s="535">
        <f t="shared" si="21"/>
        <v>20</v>
      </c>
      <c r="G171" s="535">
        <f t="shared" si="21"/>
        <v>0</v>
      </c>
      <c r="H171" s="619">
        <f t="shared" si="21"/>
        <v>20</v>
      </c>
      <c r="I171" s="535">
        <f t="shared" si="21"/>
        <v>0</v>
      </c>
      <c r="J171" s="535">
        <f t="shared" si="21"/>
        <v>0</v>
      </c>
      <c r="K171" s="535">
        <f t="shared" si="21"/>
        <v>0</v>
      </c>
      <c r="L171" s="535"/>
    </row>
    <row r="172" spans="1:12" ht="60">
      <c r="A172" s="502" t="s">
        <v>16</v>
      </c>
      <c r="B172" s="508" t="s">
        <v>552</v>
      </c>
      <c r="C172" s="509">
        <f t="shared" si="21"/>
        <v>20</v>
      </c>
      <c r="D172" s="509">
        <f t="shared" si="21"/>
        <v>0</v>
      </c>
      <c r="E172" s="509">
        <f t="shared" si="21"/>
        <v>20</v>
      </c>
      <c r="F172" s="509">
        <f t="shared" si="21"/>
        <v>20</v>
      </c>
      <c r="G172" s="509">
        <f t="shared" si="21"/>
        <v>0</v>
      </c>
      <c r="H172" s="617">
        <f t="shared" si="21"/>
        <v>20</v>
      </c>
      <c r="I172" s="509">
        <f t="shared" si="21"/>
        <v>0</v>
      </c>
      <c r="J172" s="509">
        <f t="shared" si="21"/>
        <v>0</v>
      </c>
      <c r="K172" s="509">
        <f t="shared" si="21"/>
        <v>0</v>
      </c>
      <c r="L172" s="242"/>
    </row>
    <row r="173" spans="1:12" ht="30.75">
      <c r="A173" s="217">
        <v>1</v>
      </c>
      <c r="B173" s="519" t="s">
        <v>531</v>
      </c>
      <c r="C173" s="512">
        <f>SUM(D173:E173)</f>
        <v>20</v>
      </c>
      <c r="D173" s="512">
        <f>G173+J173</f>
        <v>0</v>
      </c>
      <c r="E173" s="640">
        <f>H173+K173</f>
        <v>20</v>
      </c>
      <c r="F173" s="512">
        <f>SUM(G173:H173)</f>
        <v>20</v>
      </c>
      <c r="G173" s="243"/>
      <c r="H173" s="550">
        <v>20</v>
      </c>
      <c r="I173" s="512"/>
      <c r="J173" s="243"/>
      <c r="K173" s="243"/>
      <c r="L173" s="243"/>
    </row>
    <row r="188" spans="1:12" ht="90" customHeight="1">
      <c r="A188" s="857" t="s">
        <v>678</v>
      </c>
      <c r="B188" s="857"/>
      <c r="C188" s="857"/>
      <c r="D188" s="857"/>
      <c r="E188" s="857"/>
      <c r="F188" s="857"/>
      <c r="G188" s="857"/>
      <c r="H188" s="857"/>
      <c r="I188" s="857"/>
      <c r="J188" s="857"/>
      <c r="K188" s="857"/>
      <c r="L188" s="857"/>
    </row>
    <row r="189" spans="1:12" ht="23.25" customHeight="1">
      <c r="A189" s="857" t="s">
        <v>555</v>
      </c>
      <c r="B189" s="857"/>
      <c r="C189" s="857"/>
      <c r="D189" s="857"/>
      <c r="E189" s="857"/>
      <c r="F189" s="857"/>
      <c r="G189" s="857"/>
      <c r="H189" s="857"/>
      <c r="I189" s="857"/>
      <c r="J189" s="857"/>
      <c r="K189" s="857"/>
      <c r="L189" s="857"/>
    </row>
    <row r="190" spans="1:12" ht="18">
      <c r="A190" s="506"/>
      <c r="B190" s="507"/>
      <c r="C190" s="507"/>
      <c r="D190" s="507"/>
      <c r="E190" s="507"/>
      <c r="F190" s="507"/>
      <c r="G190" s="507"/>
      <c r="H190" s="593"/>
      <c r="I190" s="845" t="s">
        <v>532</v>
      </c>
      <c r="J190" s="845"/>
      <c r="K190" s="845"/>
      <c r="L190" s="845"/>
    </row>
    <row r="191" spans="1:12" ht="22.5" customHeight="1">
      <c r="A191" s="846" t="s">
        <v>549</v>
      </c>
      <c r="B191" s="849" t="s">
        <v>541</v>
      </c>
      <c r="C191" s="852" t="s">
        <v>542</v>
      </c>
      <c r="D191" s="853"/>
      <c r="E191" s="853"/>
      <c r="F191" s="853"/>
      <c r="G191" s="853"/>
      <c r="H191" s="853"/>
      <c r="I191" s="853"/>
      <c r="J191" s="853"/>
      <c r="K191" s="853"/>
      <c r="L191" s="844" t="s">
        <v>216</v>
      </c>
    </row>
    <row r="192" spans="1:12" ht="15">
      <c r="A192" s="847"/>
      <c r="B192" s="850"/>
      <c r="C192" s="854" t="s">
        <v>447</v>
      </c>
      <c r="D192" s="855"/>
      <c r="E192" s="856"/>
      <c r="F192" s="854" t="s">
        <v>498</v>
      </c>
      <c r="G192" s="855"/>
      <c r="H192" s="856"/>
      <c r="I192" s="854" t="s">
        <v>543</v>
      </c>
      <c r="J192" s="855"/>
      <c r="K192" s="856"/>
      <c r="L192" s="844"/>
    </row>
    <row r="193" spans="1:12" ht="15">
      <c r="A193" s="847"/>
      <c r="B193" s="850"/>
      <c r="C193" s="844" t="s">
        <v>447</v>
      </c>
      <c r="D193" s="844" t="s">
        <v>501</v>
      </c>
      <c r="E193" s="844"/>
      <c r="F193" s="844" t="s">
        <v>447</v>
      </c>
      <c r="G193" s="844" t="s">
        <v>501</v>
      </c>
      <c r="H193" s="844"/>
      <c r="I193" s="844" t="s">
        <v>447</v>
      </c>
      <c r="J193" s="844" t="s">
        <v>501</v>
      </c>
      <c r="K193" s="844"/>
      <c r="L193" s="844"/>
    </row>
    <row r="194" spans="1:12" ht="30">
      <c r="A194" s="848"/>
      <c r="B194" s="851"/>
      <c r="C194" s="844"/>
      <c r="D194" s="177" t="s">
        <v>503</v>
      </c>
      <c r="E194" s="177" t="s">
        <v>479</v>
      </c>
      <c r="F194" s="844"/>
      <c r="G194" s="177" t="s">
        <v>503</v>
      </c>
      <c r="H194" s="553" t="s">
        <v>479</v>
      </c>
      <c r="I194" s="844"/>
      <c r="J194" s="177" t="s">
        <v>503</v>
      </c>
      <c r="K194" s="177" t="s">
        <v>479</v>
      </c>
      <c r="L194" s="177"/>
    </row>
    <row r="195" spans="1:12" ht="27.75" customHeight="1">
      <c r="A195" s="214"/>
      <c r="B195" s="214" t="s">
        <v>544</v>
      </c>
      <c r="C195" s="535">
        <f>C196+C201</f>
        <v>1100</v>
      </c>
      <c r="D195" s="535">
        <f aca="true" t="shared" si="22" ref="D195:K195">D196+D201</f>
        <v>0</v>
      </c>
      <c r="E195" s="535">
        <f t="shared" si="22"/>
        <v>1100</v>
      </c>
      <c r="F195" s="535">
        <f t="shared" si="22"/>
        <v>1100</v>
      </c>
      <c r="G195" s="535">
        <f t="shared" si="22"/>
        <v>0</v>
      </c>
      <c r="H195" s="619">
        <f t="shared" si="22"/>
        <v>1100</v>
      </c>
      <c r="I195" s="535">
        <f t="shared" si="22"/>
        <v>0</v>
      </c>
      <c r="J195" s="535">
        <f t="shared" si="22"/>
        <v>0</v>
      </c>
      <c r="K195" s="535">
        <f t="shared" si="22"/>
        <v>0</v>
      </c>
      <c r="L195" s="535"/>
    </row>
    <row r="196" spans="1:12" ht="30">
      <c r="A196" s="214">
        <v>1</v>
      </c>
      <c r="B196" s="517" t="s">
        <v>354</v>
      </c>
      <c r="C196" s="602">
        <f>D196+E196</f>
        <v>1080</v>
      </c>
      <c r="D196" s="517"/>
      <c r="E196" s="602">
        <f>H196+K196</f>
        <v>1080</v>
      </c>
      <c r="F196" s="517">
        <f>G196+H196</f>
        <v>1080</v>
      </c>
      <c r="G196" s="509"/>
      <c r="H196" s="623">
        <f>H197</f>
        <v>1080</v>
      </c>
      <c r="I196" s="535"/>
      <c r="J196" s="535"/>
      <c r="K196" s="535"/>
      <c r="L196" s="535"/>
    </row>
    <row r="197" spans="1:12" ht="46.5">
      <c r="A197" s="217">
        <v>1.1</v>
      </c>
      <c r="B197" s="518" t="s">
        <v>520</v>
      </c>
      <c r="C197" s="603">
        <f>D197+E197</f>
        <v>1080</v>
      </c>
      <c r="D197" s="518"/>
      <c r="E197" s="603">
        <f>H197+K197</f>
        <v>1080</v>
      </c>
      <c r="F197" s="518">
        <f>G197+H197</f>
        <v>1080</v>
      </c>
      <c r="G197" s="528"/>
      <c r="H197" s="624">
        <f>H198+H199+H200</f>
        <v>1080</v>
      </c>
      <c r="I197" s="535"/>
      <c r="J197" s="535"/>
      <c r="K197" s="535"/>
      <c r="L197" s="535"/>
    </row>
    <row r="198" spans="1:12" ht="61.5">
      <c r="A198" s="217" t="s">
        <v>511</v>
      </c>
      <c r="B198" s="589" t="s">
        <v>670</v>
      </c>
      <c r="C198" s="603">
        <f>D198+E198</f>
        <v>180</v>
      </c>
      <c r="D198" s="217"/>
      <c r="E198" s="603">
        <f>H198+K198</f>
        <v>180</v>
      </c>
      <c r="F198" s="518">
        <f>G198+H198</f>
        <v>180</v>
      </c>
      <c r="G198" s="505"/>
      <c r="H198" s="625">
        <v>180</v>
      </c>
      <c r="I198" s="535"/>
      <c r="J198" s="535"/>
      <c r="K198" s="535"/>
      <c r="L198" s="535"/>
    </row>
    <row r="199" spans="1:12" ht="41.25" customHeight="1">
      <c r="A199" s="217" t="s">
        <v>511</v>
      </c>
      <c r="B199" s="591" t="s">
        <v>664</v>
      </c>
      <c r="C199" s="603">
        <f>D199+E199</f>
        <v>600</v>
      </c>
      <c r="D199" s="217"/>
      <c r="E199" s="603">
        <f>H199+K199</f>
        <v>600</v>
      </c>
      <c r="F199" s="518">
        <f>G199+H199</f>
        <v>600</v>
      </c>
      <c r="G199" s="431"/>
      <c r="H199" s="625">
        <v>600</v>
      </c>
      <c r="I199" s="535"/>
      <c r="J199" s="535"/>
      <c r="K199" s="535"/>
      <c r="L199" s="535"/>
    </row>
    <row r="200" spans="1:12" ht="27.75">
      <c r="A200" s="217" t="s">
        <v>511</v>
      </c>
      <c r="B200" s="590" t="s">
        <v>668</v>
      </c>
      <c r="C200" s="603">
        <f>D200+E200</f>
        <v>300</v>
      </c>
      <c r="D200" s="217"/>
      <c r="E200" s="603">
        <f>H200+K200</f>
        <v>300</v>
      </c>
      <c r="F200" s="518">
        <f>G200+H200</f>
        <v>300</v>
      </c>
      <c r="G200" s="505"/>
      <c r="H200" s="625">
        <v>300</v>
      </c>
      <c r="I200" s="535"/>
      <c r="J200" s="535"/>
      <c r="K200" s="535"/>
      <c r="L200" s="535"/>
    </row>
    <row r="201" spans="1:12" ht="60">
      <c r="A201" s="502" t="s">
        <v>15</v>
      </c>
      <c r="B201" s="508" t="s">
        <v>552</v>
      </c>
      <c r="C201" s="509">
        <f aca="true" t="shared" si="23" ref="C201:K201">C202</f>
        <v>20</v>
      </c>
      <c r="D201" s="509">
        <f t="shared" si="23"/>
        <v>0</v>
      </c>
      <c r="E201" s="509">
        <f t="shared" si="23"/>
        <v>20</v>
      </c>
      <c r="F201" s="509">
        <f t="shared" si="23"/>
        <v>20</v>
      </c>
      <c r="G201" s="509">
        <f t="shared" si="23"/>
        <v>0</v>
      </c>
      <c r="H201" s="617">
        <f t="shared" si="23"/>
        <v>20</v>
      </c>
      <c r="I201" s="509">
        <f t="shared" si="23"/>
        <v>0</v>
      </c>
      <c r="J201" s="509">
        <f t="shared" si="23"/>
        <v>0</v>
      </c>
      <c r="K201" s="509">
        <f t="shared" si="23"/>
        <v>0</v>
      </c>
      <c r="L201" s="242"/>
    </row>
    <row r="202" spans="1:12" ht="30.75">
      <c r="A202" s="217">
        <v>1</v>
      </c>
      <c r="B202" s="519" t="s">
        <v>531</v>
      </c>
      <c r="C202" s="512">
        <f>SUM(D202:E202)</f>
        <v>20</v>
      </c>
      <c r="D202" s="512">
        <f>G202+J202</f>
        <v>0</v>
      </c>
      <c r="E202" s="640">
        <f>H202+K202</f>
        <v>20</v>
      </c>
      <c r="F202" s="512">
        <f>SUM(G202:H202)</f>
        <v>20</v>
      </c>
      <c r="G202" s="243"/>
      <c r="H202" s="550">
        <v>20</v>
      </c>
      <c r="I202" s="512"/>
      <c r="J202" s="243"/>
      <c r="K202" s="243"/>
      <c r="L202" s="243"/>
    </row>
    <row r="205" spans="1:12" ht="123" customHeight="1">
      <c r="A205" s="857" t="s">
        <v>678</v>
      </c>
      <c r="B205" s="857"/>
      <c r="C205" s="857"/>
      <c r="D205" s="857"/>
      <c r="E205" s="857"/>
      <c r="F205" s="857"/>
      <c r="G205" s="857"/>
      <c r="H205" s="857"/>
      <c r="I205" s="857"/>
      <c r="J205" s="857"/>
      <c r="K205" s="857"/>
      <c r="L205" s="857"/>
    </row>
    <row r="206" spans="1:12" ht="17.25">
      <c r="A206" s="857" t="s">
        <v>555</v>
      </c>
      <c r="B206" s="857"/>
      <c r="C206" s="857"/>
      <c r="D206" s="857"/>
      <c r="E206" s="857"/>
      <c r="F206" s="857"/>
      <c r="G206" s="857"/>
      <c r="H206" s="857"/>
      <c r="I206" s="857"/>
      <c r="J206" s="857"/>
      <c r="K206" s="857"/>
      <c r="L206" s="857"/>
    </row>
    <row r="207" spans="1:12" ht="18">
      <c r="A207" s="506"/>
      <c r="B207" s="507"/>
      <c r="C207" s="507"/>
      <c r="D207" s="507"/>
      <c r="E207" s="507"/>
      <c r="F207" s="507"/>
      <c r="G207" s="507"/>
      <c r="H207" s="593"/>
      <c r="I207" s="845" t="s">
        <v>532</v>
      </c>
      <c r="J207" s="845"/>
      <c r="K207" s="845"/>
      <c r="L207" s="845"/>
    </row>
    <row r="208" spans="1:12" ht="15">
      <c r="A208" s="846" t="s">
        <v>549</v>
      </c>
      <c r="B208" s="849" t="s">
        <v>541</v>
      </c>
      <c r="C208" s="852" t="s">
        <v>542</v>
      </c>
      <c r="D208" s="853"/>
      <c r="E208" s="853"/>
      <c r="F208" s="853"/>
      <c r="G208" s="853"/>
      <c r="H208" s="853"/>
      <c r="I208" s="853"/>
      <c r="J208" s="853"/>
      <c r="K208" s="853"/>
      <c r="L208" s="844" t="s">
        <v>216</v>
      </c>
    </row>
    <row r="209" spans="1:12" ht="15">
      <c r="A209" s="847"/>
      <c r="B209" s="850"/>
      <c r="C209" s="854" t="s">
        <v>447</v>
      </c>
      <c r="D209" s="855"/>
      <c r="E209" s="856"/>
      <c r="F209" s="854" t="s">
        <v>498</v>
      </c>
      <c r="G209" s="855"/>
      <c r="H209" s="856"/>
      <c r="I209" s="854" t="s">
        <v>543</v>
      </c>
      <c r="J209" s="855"/>
      <c r="K209" s="856"/>
      <c r="L209" s="844"/>
    </row>
    <row r="210" spans="1:12" ht="15">
      <c r="A210" s="847"/>
      <c r="B210" s="850"/>
      <c r="C210" s="844" t="s">
        <v>447</v>
      </c>
      <c r="D210" s="844" t="s">
        <v>501</v>
      </c>
      <c r="E210" s="844"/>
      <c r="F210" s="844" t="s">
        <v>447</v>
      </c>
      <c r="G210" s="844" t="s">
        <v>501</v>
      </c>
      <c r="H210" s="844"/>
      <c r="I210" s="844" t="s">
        <v>447</v>
      </c>
      <c r="J210" s="844" t="s">
        <v>501</v>
      </c>
      <c r="K210" s="844"/>
      <c r="L210" s="844"/>
    </row>
    <row r="211" spans="1:12" ht="30">
      <c r="A211" s="848"/>
      <c r="B211" s="851"/>
      <c r="C211" s="844"/>
      <c r="D211" s="177" t="s">
        <v>503</v>
      </c>
      <c r="E211" s="177" t="s">
        <v>479</v>
      </c>
      <c r="F211" s="844"/>
      <c r="G211" s="177" t="s">
        <v>503</v>
      </c>
      <c r="H211" s="553" t="s">
        <v>479</v>
      </c>
      <c r="I211" s="844"/>
      <c r="J211" s="177" t="s">
        <v>503</v>
      </c>
      <c r="K211" s="177" t="s">
        <v>479</v>
      </c>
      <c r="L211" s="177"/>
    </row>
    <row r="212" spans="1:12" ht="15">
      <c r="A212" s="214"/>
      <c r="B212" s="214" t="s">
        <v>544</v>
      </c>
      <c r="C212" s="535">
        <f>C213</f>
        <v>10000</v>
      </c>
      <c r="D212" s="535">
        <f aca="true" t="shared" si="24" ref="D212:K212">D213</f>
        <v>0</v>
      </c>
      <c r="E212" s="535">
        <f t="shared" si="24"/>
        <v>10000</v>
      </c>
      <c r="F212" s="535">
        <f t="shared" si="24"/>
        <v>10000</v>
      </c>
      <c r="G212" s="535">
        <f t="shared" si="24"/>
        <v>0</v>
      </c>
      <c r="H212" s="619">
        <f t="shared" si="24"/>
        <v>10000</v>
      </c>
      <c r="I212" s="535">
        <f t="shared" si="24"/>
        <v>0</v>
      </c>
      <c r="J212" s="535">
        <f t="shared" si="24"/>
        <v>0</v>
      </c>
      <c r="K212" s="535">
        <f t="shared" si="24"/>
        <v>0</v>
      </c>
      <c r="L212" s="535"/>
    </row>
    <row r="213" spans="1:12" ht="30">
      <c r="A213" s="214">
        <v>1</v>
      </c>
      <c r="B213" s="517" t="s">
        <v>354</v>
      </c>
      <c r="C213" s="602">
        <f>D213+E213</f>
        <v>10000</v>
      </c>
      <c r="D213" s="517"/>
      <c r="E213" s="602">
        <f>H213+K213</f>
        <v>10000</v>
      </c>
      <c r="F213" s="517">
        <f>G213+H213</f>
        <v>10000</v>
      </c>
      <c r="G213" s="509"/>
      <c r="H213" s="623">
        <f>H214</f>
        <v>10000</v>
      </c>
      <c r="I213" s="535"/>
      <c r="J213" s="535"/>
      <c r="K213" s="535"/>
      <c r="L213" s="535"/>
    </row>
    <row r="214" spans="1:12" ht="46.5">
      <c r="A214" s="217">
        <v>1.1</v>
      </c>
      <c r="B214" s="518" t="s">
        <v>520</v>
      </c>
      <c r="C214" s="603">
        <f>C215</f>
        <v>10000</v>
      </c>
      <c r="D214" s="603">
        <f aca="true" t="shared" si="25" ref="D214:K214">D215</f>
        <v>0</v>
      </c>
      <c r="E214" s="603">
        <f t="shared" si="25"/>
        <v>10000</v>
      </c>
      <c r="F214" s="603">
        <f t="shared" si="25"/>
        <v>10000</v>
      </c>
      <c r="G214" s="603">
        <f t="shared" si="25"/>
        <v>0</v>
      </c>
      <c r="H214" s="626">
        <f t="shared" si="25"/>
        <v>10000</v>
      </c>
      <c r="I214" s="603">
        <f t="shared" si="25"/>
        <v>0</v>
      </c>
      <c r="J214" s="603">
        <f t="shared" si="25"/>
        <v>0</v>
      </c>
      <c r="K214" s="603">
        <f t="shared" si="25"/>
        <v>0</v>
      </c>
      <c r="L214" s="535"/>
    </row>
    <row r="215" spans="1:12" ht="15">
      <c r="A215" s="217" t="s">
        <v>511</v>
      </c>
      <c r="B215" s="589" t="s">
        <v>694</v>
      </c>
      <c r="C215" s="603">
        <f>C216</f>
        <v>10000</v>
      </c>
      <c r="D215" s="603">
        <f>D216</f>
        <v>0</v>
      </c>
      <c r="E215" s="603">
        <f>E216</f>
        <v>10000</v>
      </c>
      <c r="F215" s="603">
        <f>F216</f>
        <v>10000</v>
      </c>
      <c r="G215" s="603">
        <f>G216</f>
        <v>0</v>
      </c>
      <c r="H215" s="626">
        <f>H216</f>
        <v>10000</v>
      </c>
      <c r="I215" s="535"/>
      <c r="J215" s="535"/>
      <c r="K215" s="535"/>
      <c r="L215" s="535"/>
    </row>
    <row r="216" spans="1:12" ht="15">
      <c r="A216" s="217"/>
      <c r="B216" s="591" t="s">
        <v>674</v>
      </c>
      <c r="C216" s="603">
        <f>D216+E216</f>
        <v>10000</v>
      </c>
      <c r="D216" s="217"/>
      <c r="E216" s="603">
        <f>H216+K216</f>
        <v>10000</v>
      </c>
      <c r="F216" s="518">
        <f>G216+H216</f>
        <v>10000</v>
      </c>
      <c r="G216" s="431"/>
      <c r="H216" s="625">
        <v>10000</v>
      </c>
      <c r="I216" s="535"/>
      <c r="J216" s="535"/>
      <c r="K216" s="535"/>
      <c r="L216" s="535"/>
    </row>
  </sheetData>
  <sheetProtection/>
  <mergeCells count="160">
    <mergeCell ref="C169:C170"/>
    <mergeCell ref="D169:E169"/>
    <mergeCell ref="F169:F170"/>
    <mergeCell ref="G169:H169"/>
    <mergeCell ref="I169:I170"/>
    <mergeCell ref="J169:K169"/>
    <mergeCell ref="A164:L164"/>
    <mergeCell ref="A165:L165"/>
    <mergeCell ref="I166:L166"/>
    <mergeCell ref="A167:A170"/>
    <mergeCell ref="B167:B170"/>
    <mergeCell ref="C167:K167"/>
    <mergeCell ref="L167:L169"/>
    <mergeCell ref="C168:E168"/>
    <mergeCell ref="F168:H168"/>
    <mergeCell ref="I168:K168"/>
    <mergeCell ref="C145:C146"/>
    <mergeCell ref="D145:E145"/>
    <mergeCell ref="F145:F146"/>
    <mergeCell ref="G145:H145"/>
    <mergeCell ref="I145:I146"/>
    <mergeCell ref="J145:K145"/>
    <mergeCell ref="A140:L140"/>
    <mergeCell ref="A141:L141"/>
    <mergeCell ref="I142:L142"/>
    <mergeCell ref="A143:A146"/>
    <mergeCell ref="B143:B146"/>
    <mergeCell ref="C143:K143"/>
    <mergeCell ref="L143:L145"/>
    <mergeCell ref="C144:E144"/>
    <mergeCell ref="F144:H144"/>
    <mergeCell ref="I144:K144"/>
    <mergeCell ref="A1:L1"/>
    <mergeCell ref="A2:L2"/>
    <mergeCell ref="I3:L3"/>
    <mergeCell ref="A4:A7"/>
    <mergeCell ref="B4:B7"/>
    <mergeCell ref="C4:K4"/>
    <mergeCell ref="L4:L6"/>
    <mergeCell ref="C5:E5"/>
    <mergeCell ref="F5:H5"/>
    <mergeCell ref="I5:K5"/>
    <mergeCell ref="C6:C7"/>
    <mergeCell ref="D6:E6"/>
    <mergeCell ref="F6:F7"/>
    <mergeCell ref="G6:H6"/>
    <mergeCell ref="I6:I7"/>
    <mergeCell ref="J6:K6"/>
    <mergeCell ref="A14:L14"/>
    <mergeCell ref="A15:L15"/>
    <mergeCell ref="I16:L16"/>
    <mergeCell ref="A17:A20"/>
    <mergeCell ref="B17:B20"/>
    <mergeCell ref="C17:K17"/>
    <mergeCell ref="L17:L19"/>
    <mergeCell ref="C18:E18"/>
    <mergeCell ref="F18:H18"/>
    <mergeCell ref="I18:K18"/>
    <mergeCell ref="C19:C20"/>
    <mergeCell ref="D19:E19"/>
    <mergeCell ref="F19:F20"/>
    <mergeCell ref="G19:H19"/>
    <mergeCell ref="I19:I20"/>
    <mergeCell ref="J19:K19"/>
    <mergeCell ref="A36:L36"/>
    <mergeCell ref="A37:L37"/>
    <mergeCell ref="I38:L38"/>
    <mergeCell ref="A39:A42"/>
    <mergeCell ref="B39:B42"/>
    <mergeCell ref="C39:K39"/>
    <mergeCell ref="L39:L41"/>
    <mergeCell ref="C40:E40"/>
    <mergeCell ref="F40:H40"/>
    <mergeCell ref="I40:K40"/>
    <mergeCell ref="C41:C42"/>
    <mergeCell ref="D41:E41"/>
    <mergeCell ref="F41:F42"/>
    <mergeCell ref="G41:H41"/>
    <mergeCell ref="I41:I42"/>
    <mergeCell ref="J41:K41"/>
    <mergeCell ref="A188:L188"/>
    <mergeCell ref="A189:L189"/>
    <mergeCell ref="I190:L190"/>
    <mergeCell ref="A191:A194"/>
    <mergeCell ref="B191:B194"/>
    <mergeCell ref="C191:K191"/>
    <mergeCell ref="L191:L193"/>
    <mergeCell ref="C192:E192"/>
    <mergeCell ref="F192:H192"/>
    <mergeCell ref="I192:K192"/>
    <mergeCell ref="C193:C194"/>
    <mergeCell ref="D193:E193"/>
    <mergeCell ref="F193:F194"/>
    <mergeCell ref="G193:H193"/>
    <mergeCell ref="I193:I194"/>
    <mergeCell ref="J193:K193"/>
    <mergeCell ref="A53:L53"/>
    <mergeCell ref="A54:L54"/>
    <mergeCell ref="I55:L55"/>
    <mergeCell ref="A56:A59"/>
    <mergeCell ref="B56:B59"/>
    <mergeCell ref="C56:K56"/>
    <mergeCell ref="L56:L58"/>
    <mergeCell ref="C57:E57"/>
    <mergeCell ref="F57:H57"/>
    <mergeCell ref="I57:K57"/>
    <mergeCell ref="C58:C59"/>
    <mergeCell ref="D58:E58"/>
    <mergeCell ref="F58:F59"/>
    <mergeCell ref="G58:H58"/>
    <mergeCell ref="I58:I59"/>
    <mergeCell ref="J58:K58"/>
    <mergeCell ref="A81:L81"/>
    <mergeCell ref="A82:L82"/>
    <mergeCell ref="A205:L205"/>
    <mergeCell ref="A206:L206"/>
    <mergeCell ref="I207:L207"/>
    <mergeCell ref="A208:A211"/>
    <mergeCell ref="B208:B211"/>
    <mergeCell ref="C208:K208"/>
    <mergeCell ref="L208:L210"/>
    <mergeCell ref="C209:E209"/>
    <mergeCell ref="F209:H209"/>
    <mergeCell ref="I209:K209"/>
    <mergeCell ref="C210:C211"/>
    <mergeCell ref="D210:E210"/>
    <mergeCell ref="F210:F211"/>
    <mergeCell ref="G210:H210"/>
    <mergeCell ref="I210:I211"/>
    <mergeCell ref="J210:K210"/>
    <mergeCell ref="I83:L83"/>
    <mergeCell ref="A84:A87"/>
    <mergeCell ref="B84:B87"/>
    <mergeCell ref="C84:K84"/>
    <mergeCell ref="L84:L86"/>
    <mergeCell ref="C85:E85"/>
    <mergeCell ref="F85:H85"/>
    <mergeCell ref="I85:K85"/>
    <mergeCell ref="C86:C87"/>
    <mergeCell ref="D86:E86"/>
    <mergeCell ref="F109:H109"/>
    <mergeCell ref="I109:K109"/>
    <mergeCell ref="C110:C111"/>
    <mergeCell ref="D110:E110"/>
    <mergeCell ref="F86:F87"/>
    <mergeCell ref="G86:H86"/>
    <mergeCell ref="I86:I87"/>
    <mergeCell ref="J86:K86"/>
    <mergeCell ref="A105:L105"/>
    <mergeCell ref="A106:L106"/>
    <mergeCell ref="F110:F111"/>
    <mergeCell ref="G110:H110"/>
    <mergeCell ref="I110:I111"/>
    <mergeCell ref="J110:K110"/>
    <mergeCell ref="I107:L107"/>
    <mergeCell ref="A108:A111"/>
    <mergeCell ref="B108:B111"/>
    <mergeCell ref="C108:K108"/>
    <mergeCell ref="L108:L110"/>
    <mergeCell ref="C109:E109"/>
  </mergeCells>
  <printOptions/>
  <pageMargins left="0.38" right="0.33" top="0.48" bottom="0.5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Z44"/>
  <sheetViews>
    <sheetView zoomScalePageLayoutView="0" workbookViewId="0" topLeftCell="A16">
      <selection activeCell="G48" sqref="G48"/>
    </sheetView>
  </sheetViews>
  <sheetFormatPr defaultColWidth="9.00390625" defaultRowHeight="15.75"/>
  <cols>
    <col min="1" max="1" width="4.75390625" style="294" customWidth="1"/>
    <col min="2" max="2" width="18.75390625" style="294" customWidth="1"/>
    <col min="3" max="4" width="6.75390625" style="294" bestFit="1" customWidth="1"/>
    <col min="5" max="5" width="7.875" style="294" bestFit="1" customWidth="1"/>
    <col min="6" max="8" width="6.75390625" style="294" bestFit="1" customWidth="1"/>
    <col min="9" max="9" width="6.00390625" style="294" bestFit="1" customWidth="1"/>
    <col min="10" max="10" width="5.25390625" style="294" bestFit="1" customWidth="1"/>
    <col min="11" max="11" width="7.50390625" style="294" customWidth="1"/>
    <col min="12" max="12" width="6.75390625" style="294" bestFit="1" customWidth="1"/>
    <col min="13" max="16" width="6.00390625" style="294" bestFit="1" customWidth="1"/>
    <col min="17" max="17" width="6.75390625" style="294" bestFit="1" customWidth="1"/>
    <col min="18" max="18" width="6.375" style="294" customWidth="1"/>
    <col min="19" max="19" width="7.00390625" style="294" customWidth="1"/>
    <col min="20" max="20" width="6.00390625" style="484" bestFit="1" customWidth="1"/>
    <col min="21" max="21" width="6.375" style="294" customWidth="1"/>
    <col min="22" max="22" width="4.00390625" style="294" bestFit="1" customWidth="1"/>
    <col min="23" max="23" width="6.625" style="294" customWidth="1"/>
    <col min="24" max="24" width="6.125" style="294" customWidth="1"/>
    <col min="25" max="16384" width="9.00390625" style="294" customWidth="1"/>
  </cols>
  <sheetData>
    <row r="1" spans="1:24" ht="27.75" customHeight="1">
      <c r="A1" s="694" t="s">
        <v>229</v>
      </c>
      <c r="B1" s="694"/>
      <c r="C1" s="694"/>
      <c r="D1" s="694"/>
      <c r="E1" s="694"/>
      <c r="F1" s="694"/>
      <c r="G1" s="694"/>
      <c r="H1" s="694"/>
      <c r="I1" s="694"/>
      <c r="J1" s="694"/>
      <c r="K1" s="694"/>
      <c r="L1" s="694"/>
      <c r="M1" s="694"/>
      <c r="N1" s="694"/>
      <c r="O1" s="694"/>
      <c r="P1" s="694"/>
      <c r="Q1" s="694"/>
      <c r="R1" s="694"/>
      <c r="S1" s="694"/>
      <c r="T1" s="694"/>
      <c r="U1" s="694"/>
      <c r="V1" s="694"/>
      <c r="W1" s="694"/>
      <c r="X1" s="694"/>
    </row>
    <row r="2" spans="1:24" ht="18" customHeight="1">
      <c r="A2" s="693" t="s">
        <v>343</v>
      </c>
      <c r="B2" s="693"/>
      <c r="C2" s="693"/>
      <c r="D2" s="693"/>
      <c r="E2" s="693"/>
      <c r="F2" s="693"/>
      <c r="G2" s="693"/>
      <c r="H2" s="693"/>
      <c r="I2" s="693"/>
      <c r="J2" s="693"/>
      <c r="K2" s="693"/>
      <c r="L2" s="693"/>
      <c r="M2" s="693"/>
      <c r="N2" s="693"/>
      <c r="O2" s="693"/>
      <c r="P2" s="693"/>
      <c r="Q2" s="693"/>
      <c r="R2" s="693"/>
      <c r="S2" s="693"/>
      <c r="T2" s="693"/>
      <c r="U2" s="693"/>
      <c r="V2" s="693"/>
      <c r="W2" s="693"/>
      <c r="X2" s="693"/>
    </row>
    <row r="3" spans="1:24" s="293" customFormat="1" ht="15.75" customHeight="1">
      <c r="A3" s="296"/>
      <c r="D3" s="297"/>
      <c r="E3" s="297"/>
      <c r="F3" s="297"/>
      <c r="G3" s="297"/>
      <c r="H3" s="297"/>
      <c r="I3" s="297"/>
      <c r="J3" s="297"/>
      <c r="K3" s="297"/>
      <c r="L3" s="297"/>
      <c r="M3" s="297"/>
      <c r="N3" s="297"/>
      <c r="O3" s="297"/>
      <c r="P3" s="297"/>
      <c r="T3" s="477"/>
      <c r="U3" s="695" t="s">
        <v>230</v>
      </c>
      <c r="V3" s="695"/>
      <c r="W3" s="695"/>
      <c r="X3" s="695"/>
    </row>
    <row r="4" spans="1:24" s="348" customFormat="1" ht="11.25">
      <c r="A4" s="699" t="s">
        <v>0</v>
      </c>
      <c r="B4" s="699" t="s">
        <v>231</v>
      </c>
      <c r="C4" s="696" t="s">
        <v>232</v>
      </c>
      <c r="D4" s="697"/>
      <c r="E4" s="698"/>
      <c r="F4" s="696" t="s">
        <v>233</v>
      </c>
      <c r="G4" s="697"/>
      <c r="H4" s="697"/>
      <c r="I4" s="697"/>
      <c r="J4" s="697"/>
      <c r="K4" s="698"/>
      <c r="L4" s="696" t="s">
        <v>234</v>
      </c>
      <c r="M4" s="697"/>
      <c r="N4" s="697"/>
      <c r="O4" s="697"/>
      <c r="P4" s="697"/>
      <c r="Q4" s="697"/>
      <c r="R4" s="697"/>
      <c r="S4" s="697"/>
      <c r="T4" s="697"/>
      <c r="U4" s="697"/>
      <c r="V4" s="697"/>
      <c r="W4" s="697"/>
      <c r="X4" s="698"/>
    </row>
    <row r="5" spans="1:24" s="348" customFormat="1" ht="80.25">
      <c r="A5" s="699"/>
      <c r="B5" s="699"/>
      <c r="C5" s="370" t="s">
        <v>235</v>
      </c>
      <c r="D5" s="371" t="s">
        <v>236</v>
      </c>
      <c r="E5" s="372" t="s">
        <v>237</v>
      </c>
      <c r="F5" s="370" t="s">
        <v>238</v>
      </c>
      <c r="G5" s="371" t="s">
        <v>239</v>
      </c>
      <c r="H5" s="371" t="s">
        <v>240</v>
      </c>
      <c r="I5" s="370" t="s">
        <v>241</v>
      </c>
      <c r="J5" s="371" t="s">
        <v>242</v>
      </c>
      <c r="K5" s="371" t="s">
        <v>341</v>
      </c>
      <c r="L5" s="370" t="s">
        <v>238</v>
      </c>
      <c r="M5" s="371" t="s">
        <v>239</v>
      </c>
      <c r="N5" s="371" t="s">
        <v>240</v>
      </c>
      <c r="O5" s="370" t="s">
        <v>241</v>
      </c>
      <c r="P5" s="371" t="s">
        <v>242</v>
      </c>
      <c r="Q5" s="371" t="s">
        <v>243</v>
      </c>
      <c r="R5" s="370" t="s">
        <v>342</v>
      </c>
      <c r="S5" s="371" t="s">
        <v>244</v>
      </c>
      <c r="T5" s="478" t="s">
        <v>209</v>
      </c>
      <c r="U5" s="371" t="s">
        <v>245</v>
      </c>
      <c r="V5" s="371" t="s">
        <v>246</v>
      </c>
      <c r="W5" s="372" t="s">
        <v>203</v>
      </c>
      <c r="X5" s="370" t="s">
        <v>279</v>
      </c>
    </row>
    <row r="6" spans="1:25" s="348" customFormat="1" ht="11.25">
      <c r="A6" s="361"/>
      <c r="B6" s="362" t="s">
        <v>206</v>
      </c>
      <c r="C6" s="346">
        <f aca="true" t="shared" si="0" ref="C6:X6">C7+C15+C16+C21+C29+C34+C35+C36+C37+C39</f>
        <v>301437</v>
      </c>
      <c r="D6" s="346">
        <f t="shared" si="0"/>
        <v>532259</v>
      </c>
      <c r="E6" s="346">
        <f t="shared" si="0"/>
        <v>833696</v>
      </c>
      <c r="F6" s="346">
        <f t="shared" si="0"/>
        <v>138329.77421709165</v>
      </c>
      <c r="G6" s="346">
        <f t="shared" si="0"/>
        <v>46653.74157032672</v>
      </c>
      <c r="H6" s="346">
        <f t="shared" si="0"/>
        <v>37472.597712759176</v>
      </c>
      <c r="I6" s="346">
        <f t="shared" si="0"/>
        <v>34437.27916915791</v>
      </c>
      <c r="J6" s="346">
        <f t="shared" si="0"/>
        <v>1482.641421573625</v>
      </c>
      <c r="K6" s="346">
        <f t="shared" si="0"/>
        <v>33763</v>
      </c>
      <c r="L6" s="346">
        <f t="shared" si="0"/>
        <v>29223.450933776898</v>
      </c>
      <c r="M6" s="346">
        <f t="shared" si="0"/>
        <v>13967.172309262833</v>
      </c>
      <c r="N6" s="346">
        <f t="shared" si="0"/>
        <v>11854.1498098919</v>
      </c>
      <c r="O6" s="346">
        <f t="shared" si="0"/>
        <v>8640.77033889587</v>
      </c>
      <c r="P6" s="346">
        <f t="shared" si="0"/>
        <v>239.1410551542399</v>
      </c>
      <c r="Q6" s="346">
        <f t="shared" si="0"/>
        <v>85679</v>
      </c>
      <c r="R6" s="346">
        <f t="shared" si="0"/>
        <v>26551.2</v>
      </c>
      <c r="S6" s="346">
        <f t="shared" si="0"/>
        <v>140655</v>
      </c>
      <c r="T6" s="479">
        <f t="shared" si="0"/>
        <v>56655.8</v>
      </c>
      <c r="U6" s="346">
        <f t="shared" si="0"/>
        <v>12500</v>
      </c>
      <c r="V6" s="346">
        <f t="shared" si="0"/>
        <v>0</v>
      </c>
      <c r="W6" s="346">
        <f t="shared" si="0"/>
        <v>1175</v>
      </c>
      <c r="X6" s="346">
        <f t="shared" si="0"/>
        <v>4214.95</v>
      </c>
      <c r="Y6" s="347">
        <f>SUM(L6:X6)</f>
        <v>391355.63444698177</v>
      </c>
    </row>
    <row r="7" spans="1:26" s="349" customFormat="1" ht="16.5" customHeight="1">
      <c r="A7" s="363">
        <v>1</v>
      </c>
      <c r="B7" s="362" t="s">
        <v>247</v>
      </c>
      <c r="C7" s="353">
        <f>SUM(C8:C14)</f>
        <v>24633</v>
      </c>
      <c r="D7" s="353">
        <f>SUM(D8:D14)</f>
        <v>6823</v>
      </c>
      <c r="E7" s="476">
        <f>SUM(E8:E14)</f>
        <v>31456</v>
      </c>
      <c r="F7" s="353">
        <f aca="true" t="shared" si="1" ref="F7:X7">SUM(F8:F14)</f>
        <v>15155.69318181818</v>
      </c>
      <c r="G7" s="353">
        <f t="shared" si="1"/>
        <v>3159.102272727273</v>
      </c>
      <c r="H7" s="353">
        <f t="shared" si="1"/>
        <v>5078.556818181819</v>
      </c>
      <c r="I7" s="353">
        <f t="shared" si="1"/>
        <v>1119.6818181818182</v>
      </c>
      <c r="J7" s="353">
        <f t="shared" si="1"/>
        <v>0</v>
      </c>
      <c r="K7" s="353">
        <f t="shared" si="1"/>
        <v>0</v>
      </c>
      <c r="L7" s="353">
        <f t="shared" si="1"/>
        <v>1170.1715039577837</v>
      </c>
      <c r="M7" s="353">
        <f t="shared" si="1"/>
        <v>1100.1612430372325</v>
      </c>
      <c r="N7" s="353">
        <f t="shared" si="1"/>
        <v>3322.486953972442</v>
      </c>
      <c r="O7" s="353">
        <f t="shared" si="1"/>
        <v>1000.1465845793023</v>
      </c>
      <c r="P7" s="353">
        <f t="shared" si="1"/>
        <v>0</v>
      </c>
      <c r="Q7" s="353">
        <f t="shared" si="1"/>
        <v>0</v>
      </c>
      <c r="R7" s="353">
        <f t="shared" si="1"/>
        <v>0</v>
      </c>
      <c r="S7" s="353">
        <f t="shared" si="1"/>
        <v>0</v>
      </c>
      <c r="T7" s="476">
        <f t="shared" si="1"/>
        <v>0</v>
      </c>
      <c r="U7" s="353">
        <f t="shared" si="1"/>
        <v>0</v>
      </c>
      <c r="V7" s="353">
        <f t="shared" si="1"/>
        <v>0</v>
      </c>
      <c r="W7" s="353">
        <f>SUM(W8:W14)</f>
        <v>0</v>
      </c>
      <c r="X7" s="353">
        <f t="shared" si="1"/>
        <v>0</v>
      </c>
      <c r="Y7" s="347">
        <f aca="true" t="shared" si="2" ref="Y7:Y42">SUM(L7:X7)</f>
        <v>6592.966285546761</v>
      </c>
      <c r="Z7" s="348"/>
    </row>
    <row r="8" spans="1:25" s="348" customFormat="1" ht="11.25">
      <c r="A8" s="361"/>
      <c r="B8" s="360" t="s">
        <v>248</v>
      </c>
      <c r="C8" s="350">
        <f>+'DA1'!F11</f>
        <v>0</v>
      </c>
      <c r="D8" s="350"/>
      <c r="E8" s="350">
        <f aca="true" t="shared" si="3" ref="E8:E15">C8+D8</f>
        <v>0</v>
      </c>
      <c r="F8" s="350">
        <f>+'DA1'!F6</f>
        <v>0</v>
      </c>
      <c r="G8" s="350">
        <f>+'DA1'!F7</f>
        <v>0</v>
      </c>
      <c r="H8" s="350">
        <f>+'DA1'!F8</f>
        <v>0</v>
      </c>
      <c r="I8" s="350">
        <f>+'DA1'!F9</f>
        <v>0</v>
      </c>
      <c r="J8" s="350"/>
      <c r="K8" s="350"/>
      <c r="L8" s="350"/>
      <c r="M8" s="350"/>
      <c r="N8" s="350"/>
      <c r="O8" s="351"/>
      <c r="P8" s="351"/>
      <c r="Q8" s="351"/>
      <c r="R8" s="360"/>
      <c r="S8" s="352"/>
      <c r="T8" s="480"/>
      <c r="U8" s="352"/>
      <c r="V8" s="352"/>
      <c r="W8" s="352"/>
      <c r="X8" s="352"/>
      <c r="Y8" s="347">
        <f t="shared" si="2"/>
        <v>0</v>
      </c>
    </row>
    <row r="9" spans="1:25" s="348" customFormat="1" ht="11.25">
      <c r="A9" s="361"/>
      <c r="B9" s="360" t="s">
        <v>249</v>
      </c>
      <c r="C9" s="350">
        <f>+'DA1'!J11</f>
        <v>12636.409090909092</v>
      </c>
      <c r="D9" s="350"/>
      <c r="E9" s="350">
        <f t="shared" si="3"/>
        <v>12636.409090909092</v>
      </c>
      <c r="F9" s="350">
        <f>+'DA1'!J6</f>
        <v>3159.102272727273</v>
      </c>
      <c r="G9" s="350">
        <f>+'DA1'!J7</f>
        <v>3159.102272727273</v>
      </c>
      <c r="H9" s="350">
        <f>+'DA1'!J8</f>
        <v>5078.556818181819</v>
      </c>
      <c r="I9" s="350">
        <f>+'DA1'!J9</f>
        <v>1119.6818181818182</v>
      </c>
      <c r="J9" s="350"/>
      <c r="K9" s="350"/>
      <c r="L9" s="350"/>
      <c r="M9" s="350"/>
      <c r="N9" s="350"/>
      <c r="O9" s="351"/>
      <c r="P9" s="351"/>
      <c r="Q9" s="351"/>
      <c r="R9" s="360"/>
      <c r="S9" s="352"/>
      <c r="T9" s="480"/>
      <c r="U9" s="352"/>
      <c r="V9" s="352"/>
      <c r="W9" s="352"/>
      <c r="X9" s="352"/>
      <c r="Y9" s="347">
        <f t="shared" si="2"/>
        <v>0</v>
      </c>
    </row>
    <row r="10" spans="1:25" s="348" customFormat="1" ht="11.25">
      <c r="A10" s="361"/>
      <c r="B10" s="360" t="s">
        <v>250</v>
      </c>
      <c r="C10" s="350">
        <f>+'DA1'!N11</f>
        <v>0</v>
      </c>
      <c r="D10" s="350"/>
      <c r="E10" s="350">
        <f t="shared" si="3"/>
        <v>0</v>
      </c>
      <c r="F10" s="350">
        <f>+'DA1'!N6</f>
        <v>0</v>
      </c>
      <c r="G10" s="350">
        <f>+'DA1'!N7</f>
        <v>0</v>
      </c>
      <c r="H10" s="350">
        <f>+'DA1'!N8</f>
        <v>0</v>
      </c>
      <c r="I10" s="350">
        <f>+'DA1'!N9</f>
        <v>0</v>
      </c>
      <c r="J10" s="350"/>
      <c r="K10" s="350"/>
      <c r="L10" s="350"/>
      <c r="M10" s="350"/>
      <c r="N10" s="350"/>
      <c r="O10" s="351"/>
      <c r="P10" s="351"/>
      <c r="Q10" s="351"/>
      <c r="R10" s="360"/>
      <c r="S10" s="352"/>
      <c r="T10" s="480"/>
      <c r="U10" s="352"/>
      <c r="V10" s="352"/>
      <c r="W10" s="352"/>
      <c r="X10" s="352"/>
      <c r="Y10" s="347">
        <f t="shared" si="2"/>
        <v>0</v>
      </c>
    </row>
    <row r="11" spans="1:25" s="348" customFormat="1" ht="11.25">
      <c r="A11" s="361"/>
      <c r="B11" s="360" t="s">
        <v>251</v>
      </c>
      <c r="C11" s="350"/>
      <c r="D11" s="350">
        <f>+'DA1'!F31</f>
        <v>6000.879507475814</v>
      </c>
      <c r="E11" s="350">
        <f t="shared" si="3"/>
        <v>6000.879507475814</v>
      </c>
      <c r="F11" s="350"/>
      <c r="G11" s="350"/>
      <c r="H11" s="350"/>
      <c r="I11" s="350"/>
      <c r="J11" s="350"/>
      <c r="K11" s="350"/>
      <c r="L11" s="350">
        <f>+'DA1'!F26</f>
        <v>1170.1715039577837</v>
      </c>
      <c r="M11" s="350">
        <f>+'DA1'!F27</f>
        <v>1100.1612430372325</v>
      </c>
      <c r="N11" s="350">
        <f>+'DA1'!F28</f>
        <v>2500.3664614482554</v>
      </c>
      <c r="O11" s="351">
        <f>+'DA1'!F29</f>
        <v>1000.1465845793023</v>
      </c>
      <c r="P11" s="351"/>
      <c r="Q11" s="351"/>
      <c r="R11" s="360"/>
      <c r="S11" s="352"/>
      <c r="T11" s="480"/>
      <c r="U11" s="352"/>
      <c r="V11" s="352"/>
      <c r="W11" s="352"/>
      <c r="X11" s="352"/>
      <c r="Y11" s="347">
        <f t="shared" si="2"/>
        <v>5770.845793022574</v>
      </c>
    </row>
    <row r="12" spans="1:25" s="348" customFormat="1" ht="11.25">
      <c r="A12" s="361"/>
      <c r="B12" s="360" t="s">
        <v>252</v>
      </c>
      <c r="C12" s="350"/>
      <c r="D12" s="350"/>
      <c r="E12" s="350">
        <f t="shared" si="3"/>
        <v>0</v>
      </c>
      <c r="F12" s="350"/>
      <c r="G12" s="350"/>
      <c r="H12" s="350"/>
      <c r="I12" s="350"/>
      <c r="J12" s="350"/>
      <c r="K12" s="350"/>
      <c r="L12" s="350"/>
      <c r="M12" s="350"/>
      <c r="N12" s="350"/>
      <c r="O12" s="351"/>
      <c r="P12" s="351"/>
      <c r="Q12" s="351"/>
      <c r="R12" s="360"/>
      <c r="S12" s="352"/>
      <c r="T12" s="480"/>
      <c r="U12" s="352"/>
      <c r="V12" s="352"/>
      <c r="W12" s="352"/>
      <c r="X12" s="352"/>
      <c r="Y12" s="347">
        <f t="shared" si="2"/>
        <v>0</v>
      </c>
    </row>
    <row r="13" spans="1:25" s="348" customFormat="1" ht="11.25">
      <c r="A13" s="361"/>
      <c r="B13" s="360" t="s">
        <v>253</v>
      </c>
      <c r="C13" s="350"/>
      <c r="D13" s="350">
        <f>+'DA1'!J31</f>
        <v>822.1204925241864</v>
      </c>
      <c r="E13" s="350">
        <f t="shared" si="3"/>
        <v>822.1204925241864</v>
      </c>
      <c r="F13" s="350"/>
      <c r="G13" s="350"/>
      <c r="H13" s="350"/>
      <c r="I13" s="350"/>
      <c r="J13" s="350"/>
      <c r="K13" s="350"/>
      <c r="L13" s="350">
        <f>+'DA1'!J26</f>
        <v>0</v>
      </c>
      <c r="M13" s="350">
        <f>+'DA1'!J27</f>
        <v>0</v>
      </c>
      <c r="N13" s="350">
        <f>+'DA1'!J28</f>
        <v>822.1204925241864</v>
      </c>
      <c r="O13" s="351">
        <f>+'DA1'!J29</f>
        <v>0</v>
      </c>
      <c r="P13" s="351"/>
      <c r="Q13" s="351"/>
      <c r="R13" s="360"/>
      <c r="S13" s="352"/>
      <c r="T13" s="480"/>
      <c r="U13" s="352"/>
      <c r="V13" s="352"/>
      <c r="W13" s="352"/>
      <c r="X13" s="352"/>
      <c r="Y13" s="347">
        <f t="shared" si="2"/>
        <v>822.1204925241864</v>
      </c>
    </row>
    <row r="14" spans="1:25" s="348" customFormat="1" ht="11.25">
      <c r="A14" s="361"/>
      <c r="B14" s="360" t="s">
        <v>254</v>
      </c>
      <c r="C14" s="350">
        <f>+'DA1'!R11</f>
        <v>11996.590909090908</v>
      </c>
      <c r="D14" s="350"/>
      <c r="E14" s="350">
        <f t="shared" si="3"/>
        <v>11996.590909090908</v>
      </c>
      <c r="F14" s="350">
        <f>+'DA1'!R6</f>
        <v>11996.590909090908</v>
      </c>
      <c r="G14" s="350">
        <f>+'DA1'!R7</f>
        <v>0</v>
      </c>
      <c r="H14" s="350">
        <f>+'DA1'!R8</f>
        <v>0</v>
      </c>
      <c r="I14" s="350">
        <f>+'DA1'!R9</f>
        <v>0</v>
      </c>
      <c r="J14" s="350"/>
      <c r="K14" s="350"/>
      <c r="L14" s="350"/>
      <c r="M14" s="350"/>
      <c r="N14" s="350"/>
      <c r="O14" s="351"/>
      <c r="P14" s="351"/>
      <c r="Q14" s="351"/>
      <c r="R14" s="360"/>
      <c r="S14" s="352"/>
      <c r="T14" s="480"/>
      <c r="U14" s="352"/>
      <c r="V14" s="352"/>
      <c r="W14" s="352"/>
      <c r="X14" s="352"/>
      <c r="Y14" s="347">
        <f t="shared" si="2"/>
        <v>0</v>
      </c>
    </row>
    <row r="15" spans="1:26" s="349" customFormat="1" ht="11.25">
      <c r="A15" s="363">
        <v>2</v>
      </c>
      <c r="B15" s="362" t="s">
        <v>255</v>
      </c>
      <c r="C15" s="353">
        <v>49146</v>
      </c>
      <c r="D15" s="353"/>
      <c r="E15" s="476">
        <f t="shared" si="3"/>
        <v>49146</v>
      </c>
      <c r="F15" s="353">
        <v>49146</v>
      </c>
      <c r="G15" s="353"/>
      <c r="H15" s="353"/>
      <c r="I15" s="353"/>
      <c r="J15" s="353"/>
      <c r="K15" s="353"/>
      <c r="L15" s="353"/>
      <c r="M15" s="353"/>
      <c r="N15" s="353"/>
      <c r="O15" s="354"/>
      <c r="P15" s="354"/>
      <c r="Q15" s="354"/>
      <c r="R15" s="360"/>
      <c r="S15" s="352"/>
      <c r="T15" s="480"/>
      <c r="U15" s="352"/>
      <c r="V15" s="352"/>
      <c r="W15" s="352"/>
      <c r="X15" s="352"/>
      <c r="Y15" s="347">
        <f t="shared" si="2"/>
        <v>0</v>
      </c>
      <c r="Z15" s="348"/>
    </row>
    <row r="16" spans="1:25" s="348" customFormat="1" ht="11.25">
      <c r="A16" s="363">
        <v>3</v>
      </c>
      <c r="B16" s="362" t="s">
        <v>256</v>
      </c>
      <c r="C16" s="353">
        <f>C17+C18</f>
        <v>6181</v>
      </c>
      <c r="D16" s="353">
        <f aca="true" t="shared" si="4" ref="D16:X16">D17+D18</f>
        <v>246787</v>
      </c>
      <c r="E16" s="476">
        <f t="shared" si="4"/>
        <v>252968</v>
      </c>
      <c r="F16" s="353">
        <f t="shared" si="4"/>
        <v>6181</v>
      </c>
      <c r="G16" s="353">
        <f t="shared" si="4"/>
        <v>0</v>
      </c>
      <c r="H16" s="353">
        <f t="shared" si="4"/>
        <v>0</v>
      </c>
      <c r="I16" s="353">
        <f t="shared" si="4"/>
        <v>0</v>
      </c>
      <c r="J16" s="353">
        <f t="shared" si="4"/>
        <v>0</v>
      </c>
      <c r="K16" s="353">
        <f t="shared" si="4"/>
        <v>0</v>
      </c>
      <c r="L16" s="353">
        <f t="shared" si="4"/>
        <v>7071.709077840237</v>
      </c>
      <c r="M16" s="353">
        <f t="shared" si="4"/>
        <v>2647.701259256341</v>
      </c>
      <c r="N16" s="353">
        <f t="shared" si="4"/>
        <v>1472.4012831532611</v>
      </c>
      <c r="O16" s="353">
        <f t="shared" si="4"/>
        <v>946.7982754174018</v>
      </c>
      <c r="P16" s="353">
        <f t="shared" si="4"/>
        <v>77.39010433275858</v>
      </c>
      <c r="Q16" s="353">
        <f t="shared" si="4"/>
        <v>73179</v>
      </c>
      <c r="R16" s="353">
        <f t="shared" si="4"/>
        <v>0</v>
      </c>
      <c r="S16" s="353">
        <f t="shared" si="4"/>
        <v>0</v>
      </c>
      <c r="T16" s="476">
        <f t="shared" si="4"/>
        <v>0</v>
      </c>
      <c r="U16" s="353">
        <f t="shared" si="4"/>
        <v>0</v>
      </c>
      <c r="V16" s="353">
        <f t="shared" si="4"/>
        <v>0</v>
      </c>
      <c r="W16" s="353">
        <f>W17+W18</f>
        <v>0</v>
      </c>
      <c r="X16" s="353">
        <f t="shared" si="4"/>
        <v>571</v>
      </c>
      <c r="Y16" s="347">
        <f t="shared" si="2"/>
        <v>85966</v>
      </c>
    </row>
    <row r="17" spans="1:25" s="348" customFormat="1" ht="11.25">
      <c r="A17" s="361" t="s">
        <v>257</v>
      </c>
      <c r="B17" s="364" t="s">
        <v>258</v>
      </c>
      <c r="C17" s="353"/>
      <c r="D17" s="353">
        <v>231300</v>
      </c>
      <c r="E17" s="353">
        <f>C17+D17</f>
        <v>231300</v>
      </c>
      <c r="F17" s="353"/>
      <c r="G17" s="353"/>
      <c r="H17" s="353"/>
      <c r="I17" s="353"/>
      <c r="J17" s="353"/>
      <c r="K17" s="353"/>
      <c r="L17" s="353"/>
      <c r="M17" s="353"/>
      <c r="N17" s="353"/>
      <c r="O17" s="354"/>
      <c r="P17" s="354"/>
      <c r="Q17" s="351">
        <v>73179</v>
      </c>
      <c r="R17" s="362"/>
      <c r="S17" s="352"/>
      <c r="T17" s="480"/>
      <c r="U17" s="352"/>
      <c r="V17" s="352"/>
      <c r="W17" s="352"/>
      <c r="X17" s="352"/>
      <c r="Y17" s="347">
        <f t="shared" si="2"/>
        <v>73179</v>
      </c>
    </row>
    <row r="18" spans="1:25" s="348" customFormat="1" ht="11.25">
      <c r="A18" s="361" t="s">
        <v>259</v>
      </c>
      <c r="B18" s="364" t="s">
        <v>260</v>
      </c>
      <c r="C18" s="353">
        <f>C19+C20</f>
        <v>6181</v>
      </c>
      <c r="D18" s="353">
        <f>D19+D20</f>
        <v>15487</v>
      </c>
      <c r="E18" s="353">
        <f>E19+E20</f>
        <v>21668</v>
      </c>
      <c r="F18" s="353">
        <f aca="true" t="shared" si="5" ref="F18:V18">F19+F20</f>
        <v>6181</v>
      </c>
      <c r="G18" s="353">
        <f t="shared" si="5"/>
        <v>0</v>
      </c>
      <c r="H18" s="353">
        <f t="shared" si="5"/>
        <v>0</v>
      </c>
      <c r="I18" s="353">
        <f t="shared" si="5"/>
        <v>0</v>
      </c>
      <c r="J18" s="353">
        <f t="shared" si="5"/>
        <v>0</v>
      </c>
      <c r="K18" s="353">
        <f t="shared" si="5"/>
        <v>0</v>
      </c>
      <c r="L18" s="353">
        <f t="shared" si="5"/>
        <v>7071.709077840237</v>
      </c>
      <c r="M18" s="353">
        <f t="shared" si="5"/>
        <v>2647.701259256341</v>
      </c>
      <c r="N18" s="353">
        <f t="shared" si="5"/>
        <v>1472.4012831532611</v>
      </c>
      <c r="O18" s="353">
        <f t="shared" si="5"/>
        <v>946.7982754174018</v>
      </c>
      <c r="P18" s="353">
        <f t="shared" si="5"/>
        <v>77.39010433275858</v>
      </c>
      <c r="Q18" s="353">
        <f t="shared" si="5"/>
        <v>0</v>
      </c>
      <c r="R18" s="353">
        <f t="shared" si="5"/>
        <v>0</v>
      </c>
      <c r="S18" s="353">
        <f t="shared" si="5"/>
        <v>0</v>
      </c>
      <c r="T18" s="476">
        <f t="shared" si="5"/>
        <v>0</v>
      </c>
      <c r="U18" s="353">
        <f t="shared" si="5"/>
        <v>0</v>
      </c>
      <c r="V18" s="353">
        <f t="shared" si="5"/>
        <v>0</v>
      </c>
      <c r="W18" s="353">
        <f>W19+W20</f>
        <v>0</v>
      </c>
      <c r="X18" s="353">
        <f>+'DA 3 PTSX Theo Trung ương'!K62</f>
        <v>571</v>
      </c>
      <c r="Y18" s="347">
        <f t="shared" si="2"/>
        <v>12787.000000000002</v>
      </c>
    </row>
    <row r="19" spans="1:25" s="348" customFormat="1" ht="48" customHeight="1">
      <c r="A19" s="361"/>
      <c r="B19" s="365" t="s">
        <v>280</v>
      </c>
      <c r="C19" s="350"/>
      <c r="D19" s="350">
        <f>+'DA 3 PTSX Theo Trung ương'!F65</f>
        <v>12787</v>
      </c>
      <c r="E19" s="350">
        <f>C19+D19</f>
        <v>12787</v>
      </c>
      <c r="F19" s="352"/>
      <c r="G19" s="352"/>
      <c r="H19" s="355"/>
      <c r="I19" s="352"/>
      <c r="J19" s="352"/>
      <c r="K19" s="352"/>
      <c r="L19" s="350">
        <f>+'DA 3 PTSX Theo Trung ương'!L7</f>
        <v>4371.709077840237</v>
      </c>
      <c r="M19" s="350">
        <f>+'DA 3 PTSX Theo Trung ương'!L26</f>
        <v>2647.701259256341</v>
      </c>
      <c r="N19" s="350">
        <f>+'DA 3 PTSX Theo Trung ương'!L42</f>
        <v>1472.4012831532611</v>
      </c>
      <c r="O19" s="350">
        <f>+'DA 3 PTSX Theo Trung ương'!L51</f>
        <v>946.7982754174018</v>
      </c>
      <c r="P19" s="350">
        <f>+'DA 3 PTSX Theo Trung ương'!L5</f>
        <v>77.39010433275858</v>
      </c>
      <c r="Q19" s="350"/>
      <c r="R19" s="352"/>
      <c r="S19" s="355"/>
      <c r="T19" s="480"/>
      <c r="U19" s="352"/>
      <c r="V19" s="352"/>
      <c r="W19" s="352"/>
      <c r="X19" s="353">
        <f>+'DA 3 PTSX Theo Trung ương'!K62</f>
        <v>571</v>
      </c>
      <c r="Y19" s="347">
        <f t="shared" si="2"/>
        <v>10087.000000000002</v>
      </c>
    </row>
    <row r="20" spans="1:25" s="348" customFormat="1" ht="22.5">
      <c r="A20" s="361"/>
      <c r="B20" s="365" t="s">
        <v>220</v>
      </c>
      <c r="C20" s="350">
        <f>+'DA 3 PTSX Theo Trung ương'!C66</f>
        <v>6181</v>
      </c>
      <c r="D20" s="350">
        <f>+'DA 3 PTSX Theo Trung ương'!D66</f>
        <v>2700</v>
      </c>
      <c r="E20" s="350">
        <f>C20+D20</f>
        <v>8881</v>
      </c>
      <c r="F20" s="350">
        <f>+'DA 3 PTSX Theo Trung ương'!N7</f>
        <v>6181</v>
      </c>
      <c r="G20" s="350"/>
      <c r="H20" s="350"/>
      <c r="I20" s="350"/>
      <c r="J20" s="350"/>
      <c r="K20" s="350"/>
      <c r="L20" s="350">
        <f>+'DA 3 PTSX Theo Trung ương'!O7</f>
        <v>2700</v>
      </c>
      <c r="M20" s="350"/>
      <c r="N20" s="350"/>
      <c r="O20" s="351"/>
      <c r="P20" s="351"/>
      <c r="Q20" s="351"/>
      <c r="R20" s="360"/>
      <c r="S20" s="352"/>
      <c r="T20" s="480"/>
      <c r="U20" s="352"/>
      <c r="V20" s="352"/>
      <c r="W20" s="352"/>
      <c r="X20" s="352"/>
      <c r="Y20" s="347">
        <f t="shared" si="2"/>
        <v>2700</v>
      </c>
    </row>
    <row r="21" spans="1:26" s="349" customFormat="1" ht="11.25">
      <c r="A21" s="363">
        <v>4</v>
      </c>
      <c r="B21" s="362" t="s">
        <v>262</v>
      </c>
      <c r="C21" s="353">
        <f>+C22</f>
        <v>79536</v>
      </c>
      <c r="D21" s="353">
        <f aca="true" t="shared" si="6" ref="D21:X21">+D22</f>
        <v>3287</v>
      </c>
      <c r="E21" s="476">
        <f t="shared" si="6"/>
        <v>82823</v>
      </c>
      <c r="F21" s="353">
        <f t="shared" si="6"/>
        <v>36247.08103527348</v>
      </c>
      <c r="G21" s="353">
        <f t="shared" si="6"/>
        <v>25094.639297599442</v>
      </c>
      <c r="H21" s="353">
        <f t="shared" si="6"/>
        <v>11394.040894577352</v>
      </c>
      <c r="I21" s="353">
        <f t="shared" si="6"/>
        <v>6317.5973509760925</v>
      </c>
      <c r="J21" s="353">
        <f t="shared" si="6"/>
        <v>482.64142157362494</v>
      </c>
      <c r="K21" s="353">
        <f t="shared" si="6"/>
        <v>0</v>
      </c>
      <c r="L21" s="353">
        <f t="shared" si="6"/>
        <v>1440.5749487980195</v>
      </c>
      <c r="M21" s="353">
        <f t="shared" si="6"/>
        <v>969.6572865629777</v>
      </c>
      <c r="N21" s="353">
        <f t="shared" si="6"/>
        <v>545.9694290843554</v>
      </c>
      <c r="O21" s="353">
        <f t="shared" si="6"/>
        <v>304.560811088008</v>
      </c>
      <c r="P21" s="353">
        <f t="shared" si="6"/>
        <v>26.237524466639595</v>
      </c>
      <c r="Q21" s="353">
        <f t="shared" si="6"/>
        <v>0</v>
      </c>
      <c r="R21" s="353">
        <f t="shared" si="6"/>
        <v>0</v>
      </c>
      <c r="S21" s="353">
        <f t="shared" si="6"/>
        <v>0</v>
      </c>
      <c r="T21" s="476">
        <f t="shared" si="6"/>
        <v>0</v>
      </c>
      <c r="U21" s="353">
        <f t="shared" si="6"/>
        <v>0</v>
      </c>
      <c r="V21" s="353">
        <f t="shared" si="6"/>
        <v>0</v>
      </c>
      <c r="W21" s="353">
        <f>+W22</f>
        <v>0</v>
      </c>
      <c r="X21" s="353">
        <f t="shared" si="6"/>
        <v>0</v>
      </c>
      <c r="Y21" s="347">
        <f t="shared" si="2"/>
        <v>3287</v>
      </c>
      <c r="Z21" s="348"/>
    </row>
    <row r="22" spans="1:25" s="348" customFormat="1" ht="22.5">
      <c r="A22" s="361"/>
      <c r="B22" s="366" t="s">
        <v>263</v>
      </c>
      <c r="C22" s="353">
        <f>SUM(C23:C28)</f>
        <v>79536</v>
      </c>
      <c r="D22" s="353">
        <f aca="true" t="shared" si="7" ref="D22:X22">SUM(D23:D28)</f>
        <v>3287</v>
      </c>
      <c r="E22" s="353">
        <f t="shared" si="7"/>
        <v>82823</v>
      </c>
      <c r="F22" s="353">
        <f t="shared" si="7"/>
        <v>36247.08103527348</v>
      </c>
      <c r="G22" s="353">
        <f t="shared" si="7"/>
        <v>25094.639297599442</v>
      </c>
      <c r="H22" s="353">
        <f t="shared" si="7"/>
        <v>11394.040894577352</v>
      </c>
      <c r="I22" s="353">
        <f t="shared" si="7"/>
        <v>6317.5973509760925</v>
      </c>
      <c r="J22" s="353">
        <f t="shared" si="7"/>
        <v>482.64142157362494</v>
      </c>
      <c r="K22" s="353">
        <f t="shared" si="7"/>
        <v>0</v>
      </c>
      <c r="L22" s="353">
        <f t="shared" si="7"/>
        <v>1440.5749487980195</v>
      </c>
      <c r="M22" s="353">
        <f t="shared" si="7"/>
        <v>969.6572865629777</v>
      </c>
      <c r="N22" s="353">
        <f t="shared" si="7"/>
        <v>545.9694290843554</v>
      </c>
      <c r="O22" s="353">
        <f t="shared" si="7"/>
        <v>304.560811088008</v>
      </c>
      <c r="P22" s="353">
        <f t="shared" si="7"/>
        <v>26.237524466639595</v>
      </c>
      <c r="Q22" s="353">
        <f t="shared" si="7"/>
        <v>0</v>
      </c>
      <c r="R22" s="353">
        <f t="shared" si="7"/>
        <v>0</v>
      </c>
      <c r="S22" s="353">
        <f t="shared" si="7"/>
        <v>0</v>
      </c>
      <c r="T22" s="476">
        <f t="shared" si="7"/>
        <v>0</v>
      </c>
      <c r="U22" s="353">
        <f t="shared" si="7"/>
        <v>0</v>
      </c>
      <c r="V22" s="353">
        <f t="shared" si="7"/>
        <v>0</v>
      </c>
      <c r="W22" s="353">
        <f>SUM(W23:W28)</f>
        <v>0</v>
      </c>
      <c r="X22" s="353">
        <f t="shared" si="7"/>
        <v>0</v>
      </c>
      <c r="Y22" s="347">
        <f t="shared" si="2"/>
        <v>3287</v>
      </c>
    </row>
    <row r="23" spans="1:25" s="348" customFormat="1" ht="11.25">
      <c r="A23" s="361"/>
      <c r="B23" s="360" t="s">
        <v>264</v>
      </c>
      <c r="C23" s="350">
        <f>+'DA 4 b'!I62</f>
        <v>60464.63547769645</v>
      </c>
      <c r="D23" s="350"/>
      <c r="E23" s="350">
        <f aca="true" t="shared" si="8" ref="E23:E28">C23+D23</f>
        <v>60464.63547769645</v>
      </c>
      <c r="F23" s="350">
        <f>+'DA 4 b'!L7</f>
        <v>26499.49472387389</v>
      </c>
      <c r="G23" s="350">
        <f>+'DA 4 b'!L25</f>
        <v>17836.925576611706</v>
      </c>
      <c r="H23" s="350">
        <f>+'DA 4 b'!L41</f>
        <v>10043.152574247519</v>
      </c>
      <c r="I23" s="350">
        <f>+'DA 4 b'!L50</f>
        <v>5602.421181389709</v>
      </c>
      <c r="J23" s="350">
        <f>+'DA 4 b'!L5</f>
        <v>482.64142157362494</v>
      </c>
      <c r="K23" s="350"/>
      <c r="L23" s="352"/>
      <c r="M23" s="352"/>
      <c r="N23" s="352"/>
      <c r="O23" s="352"/>
      <c r="P23" s="352"/>
      <c r="Q23" s="351"/>
      <c r="R23" s="367"/>
      <c r="S23" s="352"/>
      <c r="T23" s="480"/>
      <c r="U23" s="352"/>
      <c r="V23" s="352"/>
      <c r="W23" s="352"/>
      <c r="X23" s="352"/>
      <c r="Y23" s="347">
        <f t="shared" si="2"/>
        <v>0</v>
      </c>
    </row>
    <row r="24" spans="1:25" s="348" customFormat="1" ht="11.25">
      <c r="A24" s="361"/>
      <c r="B24" s="360" t="s">
        <v>183</v>
      </c>
      <c r="C24" s="352"/>
      <c r="D24" s="350">
        <f>+'DA4 SN VÀ PHẦN A PHỤ LỤ (2'!Q11</f>
        <v>3287</v>
      </c>
      <c r="E24" s="350">
        <f>+D24</f>
        <v>3287</v>
      </c>
      <c r="F24" s="350"/>
      <c r="G24" s="350"/>
      <c r="H24" s="350"/>
      <c r="I24" s="350"/>
      <c r="J24" s="350"/>
      <c r="K24" s="350"/>
      <c r="L24" s="350">
        <f>+'DA 4 b'!O7</f>
        <v>1440.5749487980195</v>
      </c>
      <c r="M24" s="350">
        <f>+'DA 4 b'!O25</f>
        <v>969.6572865629777</v>
      </c>
      <c r="N24" s="350">
        <f>+'DA 4 b'!O41</f>
        <v>545.9694290843554</v>
      </c>
      <c r="O24" s="351">
        <f>+'DA 4 b'!O50</f>
        <v>304.560811088008</v>
      </c>
      <c r="P24" s="351">
        <f>+'DA 4 b'!O5</f>
        <v>26.237524466639595</v>
      </c>
      <c r="Q24" s="351"/>
      <c r="R24" s="367"/>
      <c r="S24" s="352"/>
      <c r="T24" s="480"/>
      <c r="U24" s="352"/>
      <c r="V24" s="352"/>
      <c r="W24" s="352"/>
      <c r="X24" s="352"/>
      <c r="Y24" s="347">
        <f t="shared" si="2"/>
        <v>3287</v>
      </c>
    </row>
    <row r="25" spans="1:25" s="348" customFormat="1" ht="11.25">
      <c r="A25" s="361"/>
      <c r="B25" s="360" t="s">
        <v>315</v>
      </c>
      <c r="C25" s="352"/>
      <c r="D25" s="350">
        <f>+'DA4 SN VÀ PHẦN A PHỤ LỤ (2'!F11</f>
        <v>0</v>
      </c>
      <c r="E25" s="350">
        <f>+D25</f>
        <v>0</v>
      </c>
      <c r="F25" s="350"/>
      <c r="G25" s="350"/>
      <c r="H25" s="350"/>
      <c r="I25" s="350"/>
      <c r="J25" s="350"/>
      <c r="K25" s="350"/>
      <c r="L25" s="350">
        <f>+'DA4 SN VÀ PHẦN A PHỤ LỤ (2'!F11</f>
        <v>0</v>
      </c>
      <c r="M25" s="350"/>
      <c r="N25" s="350"/>
      <c r="O25" s="351"/>
      <c r="P25" s="351"/>
      <c r="Q25" s="351"/>
      <c r="R25" s="367"/>
      <c r="S25" s="352"/>
      <c r="T25" s="480"/>
      <c r="U25" s="352"/>
      <c r="V25" s="352"/>
      <c r="W25" s="352"/>
      <c r="X25" s="352"/>
      <c r="Y25" s="347">
        <f t="shared" si="2"/>
        <v>0</v>
      </c>
    </row>
    <row r="26" spans="1:25" s="348" customFormat="1" ht="11.25">
      <c r="A26" s="361"/>
      <c r="B26" s="360" t="s">
        <v>265</v>
      </c>
      <c r="C26" s="350">
        <f>+'DA4 ĐẦU TƯ VÀ PHẦN A PHỤ LỤC'!E12</f>
        <v>19071.364522303542</v>
      </c>
      <c r="D26" s="350"/>
      <c r="E26" s="350">
        <f t="shared" si="8"/>
        <v>19071.364522303542</v>
      </c>
      <c r="F26" s="350">
        <f>+'DA4 ĐẦU TƯ VÀ PHẦN A PHỤ LỤC'!F6</f>
        <v>9747.58631139959</v>
      </c>
      <c r="G26" s="350">
        <f>+'DA4 ĐẦU TƯ VÀ PHẦN A PHỤ LỤC'!F7</f>
        <v>7257.713720987737</v>
      </c>
      <c r="H26" s="350">
        <f>+'DA4 ĐẦU TƯ VÀ PHẦN A PHỤ LỤC'!F8</f>
        <v>1350.8883203298344</v>
      </c>
      <c r="I26" s="350">
        <f>+'DA4 ĐẦU TƯ VÀ PHẦN A PHỤ LỤC'!F9</f>
        <v>715.176169586383</v>
      </c>
      <c r="J26" s="350"/>
      <c r="K26" s="350"/>
      <c r="L26" s="350"/>
      <c r="M26" s="350"/>
      <c r="N26" s="350"/>
      <c r="O26" s="351"/>
      <c r="P26" s="351"/>
      <c r="Q26" s="351"/>
      <c r="R26" s="367"/>
      <c r="S26" s="352"/>
      <c r="T26" s="480"/>
      <c r="U26" s="352"/>
      <c r="V26" s="352"/>
      <c r="W26" s="352"/>
      <c r="X26" s="352"/>
      <c r="Y26" s="347">
        <f t="shared" si="2"/>
        <v>0</v>
      </c>
    </row>
    <row r="27" spans="1:25" s="348" customFormat="1" ht="22.5">
      <c r="A27" s="361"/>
      <c r="B27" s="367" t="s">
        <v>266</v>
      </c>
      <c r="C27" s="356">
        <f>+'DA4 ĐẦU TƯ VÀ PHẦN A PHỤ LỤC'!K13</f>
        <v>0</v>
      </c>
      <c r="D27" s="350"/>
      <c r="E27" s="350">
        <f t="shared" si="8"/>
        <v>0</v>
      </c>
      <c r="F27" s="350">
        <f>+'DA4 ĐẦU TƯ VÀ PHẦN A PHỤ LỤC'!M6</f>
        <v>0</v>
      </c>
      <c r="G27" s="350">
        <f>+'DA4 ĐẦU TƯ VÀ PHẦN A PHỤ LỤC'!M7</f>
        <v>0</v>
      </c>
      <c r="H27" s="350">
        <f>+'DA4 ĐẦU TƯ VÀ PHẦN A PHỤ LỤC'!M8</f>
        <v>0</v>
      </c>
      <c r="I27" s="350">
        <f>+'DA4 ĐẦU TƯ VÀ PHẦN A PHỤ LỤC'!M9</f>
        <v>0</v>
      </c>
      <c r="J27" s="350"/>
      <c r="K27" s="350"/>
      <c r="L27" s="350"/>
      <c r="M27" s="350"/>
      <c r="N27" s="350"/>
      <c r="O27" s="351"/>
      <c r="P27" s="351"/>
      <c r="Q27" s="351"/>
      <c r="R27" s="367"/>
      <c r="S27" s="352"/>
      <c r="T27" s="480"/>
      <c r="U27" s="352"/>
      <c r="V27" s="352"/>
      <c r="W27" s="352"/>
      <c r="X27" s="352"/>
      <c r="Y27" s="347">
        <f t="shared" si="2"/>
        <v>0</v>
      </c>
    </row>
    <row r="28" spans="1:25" s="348" customFormat="1" ht="16.5" customHeight="1">
      <c r="A28" s="361"/>
      <c r="B28" s="367" t="s">
        <v>285</v>
      </c>
      <c r="C28" s="350">
        <f>+'DA4 ĐẦU TƯ VÀ PHẦN A PHỤ LỤC'!P13</f>
        <v>0</v>
      </c>
      <c r="D28" s="350"/>
      <c r="E28" s="350">
        <f t="shared" si="8"/>
        <v>0</v>
      </c>
      <c r="F28" s="350">
        <f>+'DA4 ĐẦU TƯ VÀ PHẦN A PHỤ LỤC'!T6</f>
        <v>0</v>
      </c>
      <c r="G28" s="353"/>
      <c r="H28" s="353"/>
      <c r="I28" s="353"/>
      <c r="J28" s="353"/>
      <c r="K28" s="353"/>
      <c r="L28" s="350"/>
      <c r="M28" s="350"/>
      <c r="N28" s="350"/>
      <c r="O28" s="351"/>
      <c r="P28" s="351"/>
      <c r="Q28" s="351"/>
      <c r="R28" s="367"/>
      <c r="S28" s="352"/>
      <c r="T28" s="480"/>
      <c r="U28" s="352"/>
      <c r="V28" s="352"/>
      <c r="W28" s="352"/>
      <c r="X28" s="352"/>
      <c r="Y28" s="347">
        <f t="shared" si="2"/>
        <v>0</v>
      </c>
    </row>
    <row r="29" spans="1:26" s="349" customFormat="1" ht="15" customHeight="1">
      <c r="A29" s="363">
        <v>5</v>
      </c>
      <c r="B29" s="362" t="s">
        <v>267</v>
      </c>
      <c r="C29" s="353">
        <f>SUM(C30:C33)</f>
        <v>94309</v>
      </c>
      <c r="D29" s="353">
        <f aca="true" t="shared" si="9" ref="D29:X29">SUM(D30:D33)</f>
        <v>236198</v>
      </c>
      <c r="E29" s="476">
        <f t="shared" si="9"/>
        <v>330507</v>
      </c>
      <c r="F29" s="353">
        <f t="shared" si="9"/>
        <v>31600</v>
      </c>
      <c r="G29" s="353">
        <f t="shared" si="9"/>
        <v>18400</v>
      </c>
      <c r="H29" s="353">
        <f t="shared" si="9"/>
        <v>14000</v>
      </c>
      <c r="I29" s="353">
        <f t="shared" si="9"/>
        <v>10000</v>
      </c>
      <c r="J29" s="353">
        <f t="shared" si="9"/>
        <v>0</v>
      </c>
      <c r="K29" s="353">
        <f t="shared" si="9"/>
        <v>20309</v>
      </c>
      <c r="L29" s="353">
        <f t="shared" si="9"/>
        <v>9430</v>
      </c>
      <c r="M29" s="353">
        <f t="shared" si="9"/>
        <v>1076</v>
      </c>
      <c r="N29" s="353">
        <f t="shared" si="9"/>
        <v>1075</v>
      </c>
      <c r="O29" s="353">
        <f t="shared" si="9"/>
        <v>2716</v>
      </c>
      <c r="P29" s="353">
        <f t="shared" si="9"/>
        <v>0</v>
      </c>
      <c r="Q29" s="353">
        <f t="shared" si="9"/>
        <v>0</v>
      </c>
      <c r="R29" s="353">
        <f t="shared" si="9"/>
        <v>26551.2</v>
      </c>
      <c r="S29" s="353">
        <f t="shared" si="9"/>
        <v>140655</v>
      </c>
      <c r="T29" s="476">
        <f t="shared" si="9"/>
        <v>54695</v>
      </c>
      <c r="U29" s="353">
        <f t="shared" si="9"/>
        <v>0</v>
      </c>
      <c r="V29" s="353">
        <f t="shared" si="9"/>
        <v>0</v>
      </c>
      <c r="W29" s="353">
        <f t="shared" si="9"/>
        <v>0</v>
      </c>
      <c r="X29" s="353">
        <f t="shared" si="9"/>
        <v>0</v>
      </c>
      <c r="Y29" s="347">
        <f t="shared" si="2"/>
        <v>236198.2</v>
      </c>
      <c r="Z29" s="348"/>
    </row>
    <row r="30" spans="1:25" s="348" customFormat="1" ht="16.5" customHeight="1">
      <c r="A30" s="361" t="s">
        <v>268</v>
      </c>
      <c r="B30" s="368" t="s">
        <v>258</v>
      </c>
      <c r="C30" s="350">
        <v>94309</v>
      </c>
      <c r="D30" s="350">
        <v>40848</v>
      </c>
      <c r="E30" s="350">
        <f aca="true" t="shared" si="10" ref="E30:E42">C30+D30</f>
        <v>135157</v>
      </c>
      <c r="F30" s="357">
        <v>31600</v>
      </c>
      <c r="G30" s="357">
        <v>18400</v>
      </c>
      <c r="H30" s="357">
        <v>14000</v>
      </c>
      <c r="I30" s="357">
        <v>10000</v>
      </c>
      <c r="J30" s="357"/>
      <c r="K30" s="350">
        <v>20309</v>
      </c>
      <c r="L30" s="350">
        <v>9430</v>
      </c>
      <c r="M30" s="350">
        <v>1076</v>
      </c>
      <c r="N30" s="350">
        <v>1075</v>
      </c>
      <c r="O30" s="350">
        <v>2716</v>
      </c>
      <c r="P30" s="350"/>
      <c r="Q30" s="351"/>
      <c r="R30" s="369">
        <f>0.65*D30</f>
        <v>26551.2</v>
      </c>
      <c r="S30" s="355"/>
      <c r="T30" s="480"/>
      <c r="U30" s="352"/>
      <c r="V30" s="352"/>
      <c r="W30" s="352"/>
      <c r="X30" s="352"/>
      <c r="Y30" s="347">
        <f t="shared" si="2"/>
        <v>40848.2</v>
      </c>
    </row>
    <row r="31" spans="1:25" s="490" customFormat="1" ht="15" customHeight="1">
      <c r="A31" s="485" t="s">
        <v>269</v>
      </c>
      <c r="B31" s="486" t="s">
        <v>260</v>
      </c>
      <c r="C31" s="481"/>
      <c r="D31" s="481">
        <f>SUM(L31:X31)</f>
        <v>29052</v>
      </c>
      <c r="E31" s="481">
        <f>C31+D31</f>
        <v>29052</v>
      </c>
      <c r="F31" s="481"/>
      <c r="G31" s="481"/>
      <c r="H31" s="481"/>
      <c r="I31" s="481"/>
      <c r="J31" s="481"/>
      <c r="K31" s="481"/>
      <c r="L31" s="481"/>
      <c r="M31" s="481"/>
      <c r="N31" s="481"/>
      <c r="O31" s="487"/>
      <c r="P31" s="487"/>
      <c r="Q31" s="487"/>
      <c r="R31" s="488"/>
      <c r="S31" s="480"/>
      <c r="T31" s="480">
        <v>29052</v>
      </c>
      <c r="U31" s="480"/>
      <c r="V31" s="480"/>
      <c r="W31" s="480"/>
      <c r="X31" s="480"/>
      <c r="Y31" s="489">
        <f t="shared" si="2"/>
        <v>29052</v>
      </c>
    </row>
    <row r="32" spans="1:25" s="348" customFormat="1" ht="15.75" customHeight="1">
      <c r="A32" s="361" t="s">
        <v>270</v>
      </c>
      <c r="B32" s="368" t="s">
        <v>261</v>
      </c>
      <c r="C32" s="350"/>
      <c r="D32" s="481">
        <f>SUM(L32:X32)</f>
        <v>140655</v>
      </c>
      <c r="E32" s="350">
        <f t="shared" si="10"/>
        <v>140655</v>
      </c>
      <c r="F32" s="350"/>
      <c r="G32" s="350"/>
      <c r="H32" s="350"/>
      <c r="I32" s="350"/>
      <c r="J32" s="350"/>
      <c r="K32" s="350"/>
      <c r="L32" s="350"/>
      <c r="M32" s="350"/>
      <c r="N32" s="350"/>
      <c r="O32" s="351"/>
      <c r="P32" s="351"/>
      <c r="Q32" s="351"/>
      <c r="R32" s="396"/>
      <c r="S32" s="350">
        <v>140655</v>
      </c>
      <c r="T32" s="480"/>
      <c r="U32" s="352"/>
      <c r="V32" s="352"/>
      <c r="W32" s="352"/>
      <c r="X32" s="352"/>
      <c r="Y32" s="347">
        <f t="shared" si="2"/>
        <v>140655</v>
      </c>
    </row>
    <row r="33" spans="1:25" s="348" customFormat="1" ht="14.25" customHeight="1">
      <c r="A33" s="361">
        <v>5.4</v>
      </c>
      <c r="B33" s="366" t="s">
        <v>291</v>
      </c>
      <c r="C33" s="350"/>
      <c r="D33" s="481">
        <f>SUM(L33:X33)</f>
        <v>25643</v>
      </c>
      <c r="E33" s="353">
        <f>C33+D33</f>
        <v>25643</v>
      </c>
      <c r="F33" s="353"/>
      <c r="G33" s="353"/>
      <c r="H33" s="353"/>
      <c r="I33" s="353"/>
      <c r="J33" s="353"/>
      <c r="K33" s="353"/>
      <c r="L33" s="350"/>
      <c r="M33" s="350"/>
      <c r="N33" s="350"/>
      <c r="O33" s="351"/>
      <c r="P33" s="351"/>
      <c r="Q33" s="351"/>
      <c r="R33" s="367"/>
      <c r="S33" s="352"/>
      <c r="T33" s="481">
        <v>25643</v>
      </c>
      <c r="U33" s="352"/>
      <c r="V33" s="352"/>
      <c r="W33" s="352"/>
      <c r="X33" s="352"/>
      <c r="Y33" s="347">
        <f t="shared" si="2"/>
        <v>25643</v>
      </c>
    </row>
    <row r="34" spans="1:26" s="358" customFormat="1" ht="15.75" customHeight="1">
      <c r="A34" s="363">
        <v>6</v>
      </c>
      <c r="B34" s="362" t="s">
        <v>271</v>
      </c>
      <c r="C34" s="353">
        <v>34178</v>
      </c>
      <c r="D34" s="353">
        <v>26505</v>
      </c>
      <c r="E34" s="476">
        <f>C34+D34</f>
        <v>60683</v>
      </c>
      <c r="F34" s="353"/>
      <c r="G34" s="353"/>
      <c r="H34" s="353">
        <v>7000</v>
      </c>
      <c r="I34" s="353">
        <v>17000</v>
      </c>
      <c r="J34" s="353">
        <v>1000</v>
      </c>
      <c r="K34" s="353"/>
      <c r="L34" s="397">
        <v>7912</v>
      </c>
      <c r="M34" s="398">
        <v>6328</v>
      </c>
      <c r="N34" s="398">
        <v>4490</v>
      </c>
      <c r="O34" s="398">
        <v>2948</v>
      </c>
      <c r="P34" s="399"/>
      <c r="Q34" s="400">
        <f>+P34+U34</f>
        <v>12500</v>
      </c>
      <c r="R34" s="366"/>
      <c r="S34" s="398"/>
      <c r="T34" s="482"/>
      <c r="U34" s="397">
        <v>12500</v>
      </c>
      <c r="V34" s="398"/>
      <c r="W34" s="398"/>
      <c r="X34" s="398"/>
      <c r="Y34" s="347">
        <f t="shared" si="2"/>
        <v>46678</v>
      </c>
      <c r="Z34" s="401">
        <f>+D34-U34</f>
        <v>14005</v>
      </c>
    </row>
    <row r="35" spans="1:26" s="358" customFormat="1" ht="15.75" customHeight="1">
      <c r="A35" s="363">
        <v>7</v>
      </c>
      <c r="B35" s="362" t="s">
        <v>272</v>
      </c>
      <c r="C35" s="353"/>
      <c r="D35" s="353">
        <f>+'DA7'!C24</f>
        <v>1883</v>
      </c>
      <c r="E35" s="476">
        <f t="shared" si="10"/>
        <v>1883</v>
      </c>
      <c r="F35" s="353"/>
      <c r="G35" s="353"/>
      <c r="H35" s="353"/>
      <c r="I35" s="353"/>
      <c r="J35" s="353"/>
      <c r="K35" s="353"/>
      <c r="L35" s="353">
        <f>+'DA7'!F6</f>
        <v>683.9596412556054</v>
      </c>
      <c r="M35" s="353">
        <f>+'DA7'!F10</f>
        <v>620.6300448430493</v>
      </c>
      <c r="N35" s="353">
        <f>+'DA7'!F18</f>
        <v>257.5403587443946</v>
      </c>
      <c r="O35" s="354">
        <f>+'DA7'!F18</f>
        <v>257.5403587443946</v>
      </c>
      <c r="P35" s="354">
        <f>+'DA7'!F5</f>
        <v>37.997757847533634</v>
      </c>
      <c r="Q35" s="354"/>
      <c r="R35" s="366"/>
      <c r="S35" s="398"/>
      <c r="T35" s="482"/>
      <c r="U35" s="398"/>
      <c r="V35" s="398"/>
      <c r="W35" s="398"/>
      <c r="X35" s="398"/>
      <c r="Y35" s="347">
        <f t="shared" si="2"/>
        <v>1857.6681614349775</v>
      </c>
      <c r="Z35" s="401">
        <f>+P34-Z34</f>
        <v>-14005</v>
      </c>
    </row>
    <row r="36" spans="1:26" s="358" customFormat="1" ht="11.25">
      <c r="A36" s="363">
        <v>8</v>
      </c>
      <c r="B36" s="362" t="s">
        <v>273</v>
      </c>
      <c r="C36" s="353"/>
      <c r="D36" s="353">
        <f>+L36+M36+N36+O36+P36+W36</f>
        <v>4107</v>
      </c>
      <c r="E36" s="476">
        <f t="shared" si="10"/>
        <v>4107</v>
      </c>
      <c r="F36" s="353"/>
      <c r="G36" s="353"/>
      <c r="H36" s="353"/>
      <c r="I36" s="353"/>
      <c r="J36" s="353"/>
      <c r="K36" s="353"/>
      <c r="L36" s="353">
        <f>+'DA8'!J7</f>
        <v>1217.9076923076923</v>
      </c>
      <c r="M36" s="353">
        <f>+'DA8'!J25</f>
        <v>857.0461538461539</v>
      </c>
      <c r="N36" s="353">
        <f>+'DA8'!J41</f>
        <v>511.2205128205128</v>
      </c>
      <c r="O36" s="354">
        <f>+'DA8'!J50</f>
        <v>315.75384615384615</v>
      </c>
      <c r="P36" s="354">
        <f>+'DA8'!J5</f>
        <v>30.07179487179487</v>
      </c>
      <c r="Q36" s="354"/>
      <c r="R36" s="366"/>
      <c r="S36" s="398"/>
      <c r="T36" s="482"/>
      <c r="U36" s="398"/>
      <c r="V36" s="398"/>
      <c r="W36" s="402">
        <f>+'DA8'!G62</f>
        <v>1175</v>
      </c>
      <c r="X36" s="397"/>
      <c r="Y36" s="347">
        <f t="shared" si="2"/>
        <v>4107</v>
      </c>
      <c r="Z36" s="403"/>
    </row>
    <row r="37" spans="1:26" s="358" customFormat="1" ht="13.5" customHeight="1">
      <c r="A37" s="363">
        <v>9</v>
      </c>
      <c r="B37" s="362" t="s">
        <v>274</v>
      </c>
      <c r="C37" s="353">
        <f>+C38</f>
        <v>0</v>
      </c>
      <c r="D37" s="353">
        <f>+'DA 9'!C35</f>
        <v>896</v>
      </c>
      <c r="E37" s="476">
        <f>+D37+C37</f>
        <v>896</v>
      </c>
      <c r="F37" s="353">
        <f aca="true" t="shared" si="11" ref="F37:X37">+F38</f>
        <v>0</v>
      </c>
      <c r="G37" s="353"/>
      <c r="H37" s="353">
        <f t="shared" si="11"/>
        <v>0</v>
      </c>
      <c r="I37" s="353">
        <f t="shared" si="11"/>
        <v>0</v>
      </c>
      <c r="J37" s="353">
        <f t="shared" si="11"/>
        <v>0</v>
      </c>
      <c r="K37" s="353">
        <f t="shared" si="11"/>
        <v>0</v>
      </c>
      <c r="L37" s="353">
        <f>+'DA 9'!F8</f>
        <v>99.84680851063828</v>
      </c>
      <c r="M37" s="353">
        <f>+'DA 9'!F13</f>
        <v>145.79063829787233</v>
      </c>
      <c r="N37" s="353">
        <f>+'DA 9'!F19</f>
        <v>92.45957446808511</v>
      </c>
      <c r="O37" s="353">
        <f>+'DA 9'!F25</f>
        <v>59.24085106382979</v>
      </c>
      <c r="P37" s="353">
        <f>+'DA 9'!F5</f>
        <v>50.66212765957447</v>
      </c>
      <c r="Q37" s="353">
        <f t="shared" si="11"/>
        <v>0</v>
      </c>
      <c r="R37" s="353">
        <f t="shared" si="11"/>
        <v>0</v>
      </c>
      <c r="S37" s="353">
        <f t="shared" si="11"/>
        <v>0</v>
      </c>
      <c r="T37" s="476">
        <f>+'DA 9'!D35</f>
        <v>448</v>
      </c>
      <c r="U37" s="353">
        <f t="shared" si="11"/>
        <v>0</v>
      </c>
      <c r="V37" s="353">
        <f t="shared" si="11"/>
        <v>0</v>
      </c>
      <c r="W37" s="353">
        <f>+W38</f>
        <v>0</v>
      </c>
      <c r="X37" s="353">
        <f t="shared" si="11"/>
        <v>0</v>
      </c>
      <c r="Y37" s="347">
        <f>SUM(L37:U37)</f>
        <v>896</v>
      </c>
      <c r="Z37" s="403"/>
    </row>
    <row r="38" spans="1:25" s="348" customFormat="1" ht="29.25" customHeight="1">
      <c r="A38" s="361"/>
      <c r="B38" s="367" t="s">
        <v>275</v>
      </c>
      <c r="C38" s="350"/>
      <c r="D38" s="350">
        <f>+D37</f>
        <v>896</v>
      </c>
      <c r="E38" s="350">
        <f t="shared" si="10"/>
        <v>896</v>
      </c>
      <c r="F38" s="350"/>
      <c r="G38" s="350"/>
      <c r="H38" s="350"/>
      <c r="I38" s="350"/>
      <c r="J38" s="350"/>
      <c r="K38" s="350"/>
      <c r="L38" s="350">
        <f>+'DA 9'!F8</f>
        <v>99.84680851063828</v>
      </c>
      <c r="M38" s="350">
        <f>+'DA 9'!F13</f>
        <v>145.79063829787233</v>
      </c>
      <c r="N38" s="350">
        <f>+'DA 9'!F19</f>
        <v>92.45957446808511</v>
      </c>
      <c r="O38" s="351">
        <f>+'DA 9'!F25</f>
        <v>59.24085106382979</v>
      </c>
      <c r="P38" s="351">
        <f>+'DA 9'!F5</f>
        <v>50.66212765957447</v>
      </c>
      <c r="Q38" s="351"/>
      <c r="R38" s="367"/>
      <c r="S38" s="352"/>
      <c r="T38" s="483">
        <f>+'DA 9'!F35</f>
        <v>448</v>
      </c>
      <c r="U38" s="352"/>
      <c r="V38" s="352"/>
      <c r="W38" s="352"/>
      <c r="X38" s="352"/>
      <c r="Y38" s="347">
        <f t="shared" si="2"/>
        <v>896</v>
      </c>
    </row>
    <row r="39" spans="1:26" s="349" customFormat="1" ht="11.25">
      <c r="A39" s="363">
        <v>10</v>
      </c>
      <c r="B39" s="362" t="s">
        <v>276</v>
      </c>
      <c r="C39" s="353">
        <f>SUM(C40:C42)</f>
        <v>13454</v>
      </c>
      <c r="D39" s="353">
        <f aca="true" t="shared" si="12" ref="D39:X39">SUM(D40:D42)</f>
        <v>5773</v>
      </c>
      <c r="E39" s="353">
        <f t="shared" si="12"/>
        <v>19227</v>
      </c>
      <c r="F39" s="353">
        <f t="shared" si="12"/>
        <v>0</v>
      </c>
      <c r="G39" s="353">
        <f t="shared" si="12"/>
        <v>0</v>
      </c>
      <c r="H39" s="353">
        <f t="shared" si="12"/>
        <v>0</v>
      </c>
      <c r="I39" s="353">
        <f t="shared" si="12"/>
        <v>0</v>
      </c>
      <c r="J39" s="353">
        <f t="shared" si="12"/>
        <v>0</v>
      </c>
      <c r="K39" s="353">
        <f t="shared" si="12"/>
        <v>13454</v>
      </c>
      <c r="L39" s="353">
        <f t="shared" si="12"/>
        <v>197.28126110692045</v>
      </c>
      <c r="M39" s="353">
        <f t="shared" si="12"/>
        <v>222.1856834192055</v>
      </c>
      <c r="N39" s="353">
        <f t="shared" si="12"/>
        <v>87.0716976488487</v>
      </c>
      <c r="O39" s="353">
        <f t="shared" si="12"/>
        <v>92.7296118490865</v>
      </c>
      <c r="P39" s="353">
        <f t="shared" si="12"/>
        <v>16.781745975938733</v>
      </c>
      <c r="Q39" s="353">
        <f t="shared" si="12"/>
        <v>0</v>
      </c>
      <c r="R39" s="353">
        <f t="shared" si="12"/>
        <v>0</v>
      </c>
      <c r="S39" s="353">
        <f t="shared" si="12"/>
        <v>0</v>
      </c>
      <c r="T39" s="476">
        <f t="shared" si="12"/>
        <v>1512.8000000000002</v>
      </c>
      <c r="U39" s="353">
        <f t="shared" si="12"/>
        <v>0</v>
      </c>
      <c r="V39" s="353">
        <f t="shared" si="12"/>
        <v>0</v>
      </c>
      <c r="W39" s="353">
        <f>SUM(W40:W42)</f>
        <v>0</v>
      </c>
      <c r="X39" s="353">
        <f t="shared" si="12"/>
        <v>3643.95</v>
      </c>
      <c r="Y39" s="347">
        <f t="shared" si="2"/>
        <v>5772.8</v>
      </c>
      <c r="Z39" s="348"/>
    </row>
    <row r="40" spans="1:25" s="348" customFormat="1" ht="15" customHeight="1">
      <c r="A40" s="361" t="s">
        <v>277</v>
      </c>
      <c r="B40" s="359" t="s">
        <v>258</v>
      </c>
      <c r="C40" s="350"/>
      <c r="D40" s="350">
        <f>'Dự án 10'!C33</f>
        <v>1891</v>
      </c>
      <c r="E40" s="350">
        <f t="shared" si="10"/>
        <v>1891</v>
      </c>
      <c r="F40" s="350"/>
      <c r="G40" s="350"/>
      <c r="H40" s="350"/>
      <c r="I40" s="350"/>
      <c r="J40" s="350"/>
      <c r="K40" s="350"/>
      <c r="L40" s="350">
        <f>+'Dự án 10'!J8</f>
        <v>90.4924760601915</v>
      </c>
      <c r="M40" s="350">
        <f>+'Dự án 10'!J12</f>
        <v>150.99316005471954</v>
      </c>
      <c r="N40" s="350">
        <f>+'Dự án 10'!J17</f>
        <v>54.812585499316</v>
      </c>
      <c r="O40" s="351">
        <f>+'Dự án 10'!J22</f>
        <v>68.25718194254445</v>
      </c>
      <c r="P40" s="351">
        <f>+'Dự án 10'!J5</f>
        <v>13.444596443228454</v>
      </c>
      <c r="Q40" s="351"/>
      <c r="R40" s="367"/>
      <c r="S40" s="352"/>
      <c r="T40" s="483">
        <f>+'Dự án 10'!D33+'Dự án 10'!J27</f>
        <v>1512.8000000000002</v>
      </c>
      <c r="U40" s="352"/>
      <c r="V40" s="352"/>
      <c r="W40" s="352"/>
      <c r="X40" s="352"/>
      <c r="Y40" s="347">
        <f t="shared" si="2"/>
        <v>1890.8000000000002</v>
      </c>
    </row>
    <row r="41" spans="1:25" s="348" customFormat="1" ht="15.75" customHeight="1">
      <c r="A41" s="361">
        <v>10.2</v>
      </c>
      <c r="B41" s="359" t="s">
        <v>278</v>
      </c>
      <c r="C41" s="350">
        <v>13454</v>
      </c>
      <c r="D41" s="350">
        <v>3353</v>
      </c>
      <c r="E41" s="350">
        <f t="shared" si="10"/>
        <v>16807</v>
      </c>
      <c r="F41" s="350"/>
      <c r="G41" s="350"/>
      <c r="H41" s="350"/>
      <c r="I41" s="350"/>
      <c r="J41" s="350"/>
      <c r="K41" s="350">
        <f>+C41</f>
        <v>13454</v>
      </c>
      <c r="L41" s="350"/>
      <c r="M41" s="350"/>
      <c r="N41" s="350"/>
      <c r="O41" s="351"/>
      <c r="P41" s="351"/>
      <c r="Q41" s="351"/>
      <c r="R41" s="367"/>
      <c r="S41" s="352"/>
      <c r="T41" s="480"/>
      <c r="U41" s="352"/>
      <c r="V41" s="352"/>
      <c r="W41" s="352"/>
      <c r="X41" s="355">
        <f>+D41</f>
        <v>3353</v>
      </c>
      <c r="Y41" s="347">
        <f t="shared" si="2"/>
        <v>3353</v>
      </c>
    </row>
    <row r="42" spans="1:25" s="348" customFormat="1" ht="13.5" customHeight="1">
      <c r="A42" s="361">
        <v>10.3</v>
      </c>
      <c r="B42" s="360" t="s">
        <v>261</v>
      </c>
      <c r="C42" s="353"/>
      <c r="D42" s="350">
        <f>+L42+M42+N42+O42+P42+X42</f>
        <v>529</v>
      </c>
      <c r="E42" s="350">
        <f t="shared" si="10"/>
        <v>529</v>
      </c>
      <c r="F42" s="350"/>
      <c r="G42" s="350"/>
      <c r="H42" s="350"/>
      <c r="I42" s="350"/>
      <c r="J42" s="350"/>
      <c r="K42" s="350"/>
      <c r="L42" s="350">
        <f>+'DA 10 Kiểm tra giám sát'!F6</f>
        <v>106.78878504672895</v>
      </c>
      <c r="M42" s="350">
        <f>+'DA 10 Kiểm tra giám sát'!F10</f>
        <v>71.19252336448596</v>
      </c>
      <c r="N42" s="350">
        <f>+'DA 10 Kiểm tra giám sát'!F14</f>
        <v>32.259112149532704</v>
      </c>
      <c r="O42" s="351">
        <f>+'DA 10 Kiểm tra giám sát'!F18</f>
        <v>24.47242990654205</v>
      </c>
      <c r="P42" s="351">
        <f>+'DA 10 Kiểm tra giám sát'!F5</f>
        <v>3.3371495327102796</v>
      </c>
      <c r="Q42" s="354"/>
      <c r="R42" s="366"/>
      <c r="S42" s="352"/>
      <c r="T42" s="480"/>
      <c r="U42" s="352"/>
      <c r="V42" s="352"/>
      <c r="W42" s="352"/>
      <c r="X42" s="355">
        <f>+'DA 10 Kiểm tra giám sát'!E24</f>
        <v>290.95000000000005</v>
      </c>
      <c r="Y42" s="347">
        <f t="shared" si="2"/>
        <v>529</v>
      </c>
    </row>
    <row r="44" ht="12.75">
      <c r="M44" s="295"/>
    </row>
  </sheetData>
  <sheetProtection/>
  <mergeCells count="8">
    <mergeCell ref="A2:X2"/>
    <mergeCell ref="A1:X1"/>
    <mergeCell ref="U3:X3"/>
    <mergeCell ref="L4:X4"/>
    <mergeCell ref="C4:E4"/>
    <mergeCell ref="F4:K4"/>
    <mergeCell ref="A4:A5"/>
    <mergeCell ref="B4:B5"/>
  </mergeCells>
  <printOptions/>
  <pageMargins left="0.208661417" right="0.208661417" top="0.748031496062992" bottom="0.748031496062992" header="0.31496062992126" footer="0.31496062992126"/>
  <pageSetup horizontalDpi="600" verticalDpi="600" orientation="landscape" paperSize="9" scale="50" r:id="rId1"/>
</worksheet>
</file>

<file path=xl/worksheets/sheet20.xml><?xml version="1.0" encoding="utf-8"?>
<worksheet xmlns="http://schemas.openxmlformats.org/spreadsheetml/2006/main" xmlns:r="http://schemas.openxmlformats.org/officeDocument/2006/relationships">
  <dimension ref="A1:K43"/>
  <sheetViews>
    <sheetView zoomScalePageLayoutView="0" workbookViewId="0" topLeftCell="A19">
      <selection activeCell="E24" sqref="E24"/>
    </sheetView>
  </sheetViews>
  <sheetFormatPr defaultColWidth="9.00390625" defaultRowHeight="15.75"/>
  <cols>
    <col min="1" max="1" width="5.75390625" style="3" customWidth="1"/>
    <col min="2" max="2" width="44.00390625" style="3" customWidth="1"/>
    <col min="3" max="4" width="10.375" style="3" customWidth="1"/>
    <col min="5" max="5" width="10.625" style="3" customWidth="1"/>
    <col min="6" max="6" width="10.75390625" style="3" customWidth="1"/>
    <col min="7" max="7" width="10.25390625" style="3" customWidth="1"/>
    <col min="8" max="8" width="10.625" style="3" customWidth="1"/>
    <col min="9" max="9" width="9.50390625" style="3" customWidth="1"/>
    <col min="10" max="10" width="13.875" style="3" customWidth="1"/>
    <col min="11" max="16384" width="9.00390625" style="3" customWidth="1"/>
  </cols>
  <sheetData>
    <row r="1" spans="1:10" ht="83.25" customHeight="1">
      <c r="A1" s="857" t="s">
        <v>636</v>
      </c>
      <c r="B1" s="857"/>
      <c r="C1" s="857"/>
      <c r="D1" s="857"/>
      <c r="E1" s="857"/>
      <c r="F1" s="857"/>
      <c r="G1" s="857"/>
      <c r="H1" s="857"/>
      <c r="I1" s="857"/>
      <c r="J1" s="857"/>
    </row>
    <row r="2" spans="1:10" ht="39.75" customHeight="1">
      <c r="A2" s="857" t="s">
        <v>596</v>
      </c>
      <c r="B2" s="857"/>
      <c r="C2" s="857"/>
      <c r="D2" s="857"/>
      <c r="E2" s="857"/>
      <c r="F2" s="857"/>
      <c r="G2" s="857"/>
      <c r="H2" s="857"/>
      <c r="I2" s="857"/>
      <c r="J2" s="857"/>
    </row>
    <row r="3" spans="1:10" ht="18">
      <c r="A3" s="540"/>
      <c r="B3" s="558"/>
      <c r="C3" s="558"/>
      <c r="D3" s="558"/>
      <c r="E3" s="558"/>
      <c r="F3" s="558"/>
      <c r="G3" s="558"/>
      <c r="H3" s="558"/>
      <c r="I3" s="845" t="s">
        <v>532</v>
      </c>
      <c r="J3" s="845"/>
    </row>
    <row r="4" spans="1:10" ht="25.5" customHeight="1">
      <c r="A4" s="862" t="s">
        <v>492</v>
      </c>
      <c r="B4" s="861" t="s">
        <v>493</v>
      </c>
      <c r="C4" s="860" t="s">
        <v>490</v>
      </c>
      <c r="D4" s="860"/>
      <c r="E4" s="860"/>
      <c r="F4" s="860"/>
      <c r="G4" s="860"/>
      <c r="H4" s="860"/>
      <c r="I4" s="860"/>
      <c r="J4" s="863" t="s">
        <v>216</v>
      </c>
    </row>
    <row r="5" spans="1:10" ht="21.75" customHeight="1">
      <c r="A5" s="862"/>
      <c r="B5" s="861"/>
      <c r="C5" s="858" t="s">
        <v>447</v>
      </c>
      <c r="D5" s="858" t="s">
        <v>501</v>
      </c>
      <c r="E5" s="858"/>
      <c r="F5" s="858"/>
      <c r="G5" s="858"/>
      <c r="H5" s="858"/>
      <c r="I5" s="858"/>
      <c r="J5" s="864"/>
    </row>
    <row r="6" spans="1:10" ht="24" customHeight="1">
      <c r="A6" s="862"/>
      <c r="B6" s="861"/>
      <c r="C6" s="858"/>
      <c r="D6" s="859" t="s">
        <v>562</v>
      </c>
      <c r="E6" s="859"/>
      <c r="F6" s="859"/>
      <c r="G6" s="859" t="s">
        <v>563</v>
      </c>
      <c r="H6" s="859"/>
      <c r="I6" s="859"/>
      <c r="J6" s="864"/>
    </row>
    <row r="7" spans="1:10" ht="30" customHeight="1">
      <c r="A7" s="862"/>
      <c r="B7" s="861"/>
      <c r="C7" s="858"/>
      <c r="D7" s="541" t="s">
        <v>447</v>
      </c>
      <c r="E7" s="541" t="s">
        <v>478</v>
      </c>
      <c r="F7" s="541" t="s">
        <v>479</v>
      </c>
      <c r="G7" s="541" t="s">
        <v>447</v>
      </c>
      <c r="H7" s="541" t="s">
        <v>478</v>
      </c>
      <c r="I7" s="541" t="s">
        <v>479</v>
      </c>
      <c r="J7" s="865"/>
    </row>
    <row r="8" spans="1:10" ht="39" customHeight="1">
      <c r="A8" s="214"/>
      <c r="B8" s="214" t="s">
        <v>564</v>
      </c>
      <c r="C8" s="177">
        <f aca="true" t="shared" si="0" ref="C8:I8">C9+C14+C16+C20+C27+C33+C34+C35+C36+C38</f>
        <v>99964</v>
      </c>
      <c r="D8" s="177">
        <f t="shared" si="0"/>
        <v>86648</v>
      </c>
      <c r="E8" s="177">
        <f t="shared" si="0"/>
        <v>71085</v>
      </c>
      <c r="F8" s="177">
        <f t="shared" si="0"/>
        <v>15563</v>
      </c>
      <c r="G8" s="177">
        <f t="shared" si="0"/>
        <v>13316</v>
      </c>
      <c r="H8" s="177">
        <f t="shared" si="0"/>
        <v>13316</v>
      </c>
      <c r="I8" s="177">
        <f t="shared" si="0"/>
        <v>0</v>
      </c>
      <c r="J8" s="177"/>
    </row>
    <row r="9" spans="1:10" ht="51.75" customHeight="1">
      <c r="A9" s="214" t="s">
        <v>13</v>
      </c>
      <c r="B9" s="503" t="s">
        <v>627</v>
      </c>
      <c r="C9" s="177">
        <f aca="true" t="shared" si="1" ref="C9:I9">C10+C11+C12</f>
        <v>16039</v>
      </c>
      <c r="D9" s="177">
        <f t="shared" si="1"/>
        <v>15723</v>
      </c>
      <c r="E9" s="177">
        <f t="shared" si="1"/>
        <v>14553</v>
      </c>
      <c r="F9" s="177">
        <f t="shared" si="1"/>
        <v>1170</v>
      </c>
      <c r="G9" s="177">
        <f t="shared" si="1"/>
        <v>316</v>
      </c>
      <c r="H9" s="177">
        <f t="shared" si="1"/>
        <v>316</v>
      </c>
      <c r="I9" s="177">
        <f t="shared" si="1"/>
        <v>0</v>
      </c>
      <c r="J9" s="177" t="s">
        <v>628</v>
      </c>
    </row>
    <row r="10" spans="1:10" ht="32.25" customHeight="1">
      <c r="A10" s="217">
        <v>1</v>
      </c>
      <c r="B10" s="542" t="s">
        <v>507</v>
      </c>
      <c r="C10" s="505">
        <f>D10+G10</f>
        <v>3476</v>
      </c>
      <c r="D10" s="543">
        <f>SUM(E10:F10)</f>
        <v>3160</v>
      </c>
      <c r="E10" s="543">
        <v>3160</v>
      </c>
      <c r="F10" s="543">
        <v>0</v>
      </c>
      <c r="G10" s="505">
        <f>SUM(H10:I10)</f>
        <v>316</v>
      </c>
      <c r="H10" s="505">
        <v>316</v>
      </c>
      <c r="I10" s="505">
        <v>0</v>
      </c>
      <c r="J10" s="505"/>
    </row>
    <row r="11" spans="1:10" ht="29.25" customHeight="1">
      <c r="A11" s="217">
        <v>2</v>
      </c>
      <c r="B11" s="542" t="s">
        <v>395</v>
      </c>
      <c r="C11" s="505">
        <f>SUM(D11:D11)</f>
        <v>1170</v>
      </c>
      <c r="D11" s="543">
        <f>SUM(E11:F11)</f>
        <v>1170</v>
      </c>
      <c r="E11" s="514"/>
      <c r="F11" s="514">
        <v>1170</v>
      </c>
      <c r="G11" s="505">
        <f>SUM(H11:I11)</f>
        <v>0</v>
      </c>
      <c r="H11" s="505"/>
      <c r="I11" s="505"/>
      <c r="J11" s="505"/>
    </row>
    <row r="12" spans="1:10" ht="34.5" customHeight="1">
      <c r="A12" s="217">
        <v>3</v>
      </c>
      <c r="B12" s="542" t="s">
        <v>508</v>
      </c>
      <c r="C12" s="505">
        <f>SUM(D12:D12)</f>
        <v>11393</v>
      </c>
      <c r="D12" s="543">
        <f>SUM(E12:F12)</f>
        <v>11393</v>
      </c>
      <c r="E12" s="543">
        <v>11393</v>
      </c>
      <c r="F12" s="505">
        <f>SUM(F13:F13)</f>
        <v>0</v>
      </c>
      <c r="G12" s="505">
        <f>SUM(G13:G13)</f>
        <v>0</v>
      </c>
      <c r="H12" s="505">
        <f>SUM(H13:H13)</f>
        <v>0</v>
      </c>
      <c r="I12" s="505">
        <f>SUM(I13:I13)</f>
        <v>0</v>
      </c>
      <c r="J12" s="505"/>
    </row>
    <row r="13" spans="1:10" ht="30.75" customHeight="1">
      <c r="A13" s="214" t="s">
        <v>511</v>
      </c>
      <c r="B13" s="542" t="s">
        <v>512</v>
      </c>
      <c r="C13" s="505">
        <f>SUM(D13:D13)</f>
        <v>11393</v>
      </c>
      <c r="D13" s="543">
        <f>SUM(E13:F13)</f>
        <v>11393</v>
      </c>
      <c r="E13" s="543">
        <v>11393</v>
      </c>
      <c r="F13" s="543"/>
      <c r="G13" s="505">
        <f>SUM(H13:I13)</f>
        <v>0</v>
      </c>
      <c r="H13" s="505"/>
      <c r="I13" s="505"/>
      <c r="J13" s="505"/>
    </row>
    <row r="14" spans="1:10" ht="92.25" customHeight="1">
      <c r="A14" s="214" t="s">
        <v>15</v>
      </c>
      <c r="B14" s="544" t="s">
        <v>513</v>
      </c>
      <c r="C14" s="177">
        <f>SUM(C15:C15)</f>
        <v>7000</v>
      </c>
      <c r="D14" s="177">
        <f>SUM(D15:D15)</f>
        <v>7000</v>
      </c>
      <c r="E14" s="177">
        <f>E15</f>
        <v>7000</v>
      </c>
      <c r="F14" s="177">
        <f>F15</f>
        <v>0</v>
      </c>
      <c r="G14" s="177">
        <f>G15</f>
        <v>0</v>
      </c>
      <c r="H14" s="177">
        <f>H15</f>
        <v>0</v>
      </c>
      <c r="I14" s="177">
        <f>I15</f>
        <v>0</v>
      </c>
      <c r="J14" s="177"/>
    </row>
    <row r="15" spans="1:10" ht="63.75" customHeight="1">
      <c r="A15" s="217">
        <v>1</v>
      </c>
      <c r="B15" s="545" t="s">
        <v>695</v>
      </c>
      <c r="C15" s="505">
        <f>SUM(D15:D15)</f>
        <v>7000</v>
      </c>
      <c r="D15" s="505">
        <f>SUM(E15:F15)</f>
        <v>7000</v>
      </c>
      <c r="E15" s="505">
        <v>7000</v>
      </c>
      <c r="F15" s="578"/>
      <c r="G15" s="505">
        <v>0</v>
      </c>
      <c r="H15" s="505"/>
      <c r="I15" s="505"/>
      <c r="J15" s="505" t="s">
        <v>565</v>
      </c>
    </row>
    <row r="16" spans="1:10" ht="73.5" customHeight="1">
      <c r="A16" s="214" t="s">
        <v>12</v>
      </c>
      <c r="B16" s="517" t="s">
        <v>514</v>
      </c>
      <c r="C16" s="177">
        <f aca="true" t="shared" si="2" ref="C16:I16">C17</f>
        <v>13253</v>
      </c>
      <c r="D16" s="177">
        <f t="shared" si="2"/>
        <v>13253</v>
      </c>
      <c r="E16" s="177">
        <f t="shared" si="2"/>
        <v>6181</v>
      </c>
      <c r="F16" s="177">
        <f t="shared" si="2"/>
        <v>7072</v>
      </c>
      <c r="G16" s="177">
        <f t="shared" si="2"/>
        <v>0</v>
      </c>
      <c r="H16" s="177">
        <f t="shared" si="2"/>
        <v>0</v>
      </c>
      <c r="I16" s="177">
        <f t="shared" si="2"/>
        <v>0</v>
      </c>
      <c r="J16" s="177" t="s">
        <v>628</v>
      </c>
    </row>
    <row r="17" spans="1:10" ht="93.75" customHeight="1">
      <c r="A17" s="214">
        <v>1</v>
      </c>
      <c r="B17" s="519" t="s">
        <v>516</v>
      </c>
      <c r="C17" s="177">
        <f aca="true" t="shared" si="3" ref="C17:I17">SUM(C18:C19)</f>
        <v>13253</v>
      </c>
      <c r="D17" s="177">
        <f t="shared" si="3"/>
        <v>13253</v>
      </c>
      <c r="E17" s="177">
        <f t="shared" si="3"/>
        <v>6181</v>
      </c>
      <c r="F17" s="177">
        <f t="shared" si="3"/>
        <v>7072</v>
      </c>
      <c r="G17" s="177">
        <f t="shared" si="3"/>
        <v>0</v>
      </c>
      <c r="H17" s="177">
        <f t="shared" si="3"/>
        <v>0</v>
      </c>
      <c r="I17" s="177">
        <f t="shared" si="3"/>
        <v>0</v>
      </c>
      <c r="J17" s="505" t="s">
        <v>566</v>
      </c>
    </row>
    <row r="18" spans="1:10" ht="83.25" customHeight="1">
      <c r="A18" s="217" t="s">
        <v>511</v>
      </c>
      <c r="B18" s="519" t="s">
        <v>567</v>
      </c>
      <c r="C18" s="505">
        <f>SUM(D18:D18)</f>
        <v>4372</v>
      </c>
      <c r="D18" s="520">
        <f>SUM(E18:F18)</f>
        <v>4372</v>
      </c>
      <c r="E18" s="520"/>
      <c r="F18" s="520">
        <v>4372</v>
      </c>
      <c r="G18" s="505">
        <v>0</v>
      </c>
      <c r="H18" s="505"/>
      <c r="I18" s="505"/>
      <c r="J18" s="177" t="s">
        <v>628</v>
      </c>
    </row>
    <row r="19" spans="1:10" ht="41.25" customHeight="1">
      <c r="A19" s="217" t="s">
        <v>511</v>
      </c>
      <c r="B19" s="519" t="s">
        <v>568</v>
      </c>
      <c r="C19" s="505">
        <f>SUM(D19:D19)</f>
        <v>8881</v>
      </c>
      <c r="D19" s="238">
        <f>SUM(E19:F19)</f>
        <v>8881</v>
      </c>
      <c r="E19" s="238">
        <v>6181</v>
      </c>
      <c r="F19" s="238">
        <v>2700</v>
      </c>
      <c r="G19" s="505">
        <v>0</v>
      </c>
      <c r="H19" s="505"/>
      <c r="I19" s="505"/>
      <c r="J19" s="581" t="s">
        <v>633</v>
      </c>
    </row>
    <row r="20" spans="1:11" s="423" customFormat="1" ht="78" customHeight="1">
      <c r="A20" s="214" t="s">
        <v>16</v>
      </c>
      <c r="B20" s="517" t="s">
        <v>347</v>
      </c>
      <c r="C20" s="177">
        <f aca="true" t="shared" si="4" ref="C20:I20">C21</f>
        <v>51842</v>
      </c>
      <c r="D20" s="177">
        <f t="shared" si="4"/>
        <v>41842</v>
      </c>
      <c r="E20" s="177">
        <f t="shared" si="4"/>
        <v>39851</v>
      </c>
      <c r="F20" s="177">
        <f t="shared" si="4"/>
        <v>1991</v>
      </c>
      <c r="G20" s="177">
        <f t="shared" si="4"/>
        <v>10000</v>
      </c>
      <c r="H20" s="177">
        <f t="shared" si="4"/>
        <v>10000</v>
      </c>
      <c r="I20" s="177">
        <f t="shared" si="4"/>
        <v>0</v>
      </c>
      <c r="J20" s="177"/>
      <c r="K20" s="3"/>
    </row>
    <row r="21" spans="1:10" ht="51.75" customHeight="1">
      <c r="A21" s="217">
        <v>1</v>
      </c>
      <c r="B21" s="521" t="s">
        <v>517</v>
      </c>
      <c r="C21" s="505">
        <f>SUM(C22:C26)</f>
        <v>51842</v>
      </c>
      <c r="D21" s="505">
        <f aca="true" t="shared" si="5" ref="D21:I21">SUM(D22:D26)</f>
        <v>41842</v>
      </c>
      <c r="E21" s="505">
        <f t="shared" si="5"/>
        <v>39851</v>
      </c>
      <c r="F21" s="505">
        <f t="shared" si="5"/>
        <v>1991</v>
      </c>
      <c r="G21" s="505">
        <f t="shared" si="5"/>
        <v>10000</v>
      </c>
      <c r="H21" s="505">
        <f t="shared" si="5"/>
        <v>10000</v>
      </c>
      <c r="I21" s="505">
        <f t="shared" si="5"/>
        <v>0</v>
      </c>
      <c r="J21" s="505"/>
    </row>
    <row r="22" spans="1:10" ht="38.25" customHeight="1">
      <c r="A22" s="217" t="s">
        <v>511</v>
      </c>
      <c r="B22" s="542" t="s">
        <v>545</v>
      </c>
      <c r="C22" s="505">
        <f>D22+G22</f>
        <v>29499</v>
      </c>
      <c r="D22" s="514">
        <f>SUM(E22:F22)</f>
        <v>26499</v>
      </c>
      <c r="E22" s="514">
        <v>26499</v>
      </c>
      <c r="F22" s="514"/>
      <c r="G22" s="514">
        <f>H22+I22</f>
        <v>3000</v>
      </c>
      <c r="H22" s="514">
        <v>3000</v>
      </c>
      <c r="I22" s="514"/>
      <c r="J22" s="177" t="s">
        <v>628</v>
      </c>
    </row>
    <row r="23" spans="1:10" ht="35.25" customHeight="1">
      <c r="A23" s="217" t="s">
        <v>511</v>
      </c>
      <c r="B23" s="542" t="s">
        <v>631</v>
      </c>
      <c r="C23" s="505">
        <f>D23+G23</f>
        <v>1441</v>
      </c>
      <c r="D23" s="514">
        <f>SUM(E23:F23)</f>
        <v>1441</v>
      </c>
      <c r="E23" s="514"/>
      <c r="F23" s="514">
        <f>1441</f>
        <v>1441</v>
      </c>
      <c r="G23" s="514">
        <f>H23+I23</f>
        <v>0</v>
      </c>
      <c r="H23" s="514"/>
      <c r="I23" s="514"/>
      <c r="J23" s="177" t="s">
        <v>628</v>
      </c>
    </row>
    <row r="24" spans="1:10" ht="30.75">
      <c r="A24" s="217" t="s">
        <v>511</v>
      </c>
      <c r="B24" s="511" t="s">
        <v>546</v>
      </c>
      <c r="C24" s="505">
        <f>D24+G24</f>
        <v>18071</v>
      </c>
      <c r="D24" s="514">
        <f>SUM(E24:F24)</f>
        <v>11071</v>
      </c>
      <c r="E24" s="514">
        <v>11071</v>
      </c>
      <c r="F24" s="514"/>
      <c r="G24" s="514">
        <f>H24+I24</f>
        <v>7000</v>
      </c>
      <c r="H24" s="514">
        <v>7000</v>
      </c>
      <c r="I24" s="514"/>
      <c r="J24" s="581" t="s">
        <v>633</v>
      </c>
    </row>
    <row r="25" spans="1:10" ht="37.5" customHeight="1">
      <c r="A25" s="217" t="s">
        <v>511</v>
      </c>
      <c r="B25" s="511" t="s">
        <v>630</v>
      </c>
      <c r="C25" s="505">
        <f>D25+G25</f>
        <v>2070</v>
      </c>
      <c r="D25" s="514">
        <f>SUM(E25:F25)</f>
        <v>2070</v>
      </c>
      <c r="E25" s="514">
        <v>1520</v>
      </c>
      <c r="F25" s="514">
        <v>550</v>
      </c>
      <c r="G25" s="514">
        <f>H25+I25</f>
        <v>0</v>
      </c>
      <c r="H25" s="514"/>
      <c r="I25" s="514"/>
      <c r="J25" s="177" t="s">
        <v>628</v>
      </c>
    </row>
    <row r="26" spans="1:10" ht="38.25" customHeight="1">
      <c r="A26" s="217" t="s">
        <v>511</v>
      </c>
      <c r="B26" s="511" t="s">
        <v>632</v>
      </c>
      <c r="C26" s="505">
        <f>D26+G26</f>
        <v>761</v>
      </c>
      <c r="D26" s="514">
        <f>SUM(E26:F26)</f>
        <v>761</v>
      </c>
      <c r="E26" s="514">
        <v>761</v>
      </c>
      <c r="F26" s="514"/>
      <c r="G26" s="514">
        <f>H26+I26</f>
        <v>0</v>
      </c>
      <c r="H26" s="514"/>
      <c r="I26" s="514"/>
      <c r="J26" s="177" t="s">
        <v>628</v>
      </c>
    </row>
    <row r="27" spans="1:11" s="89" customFormat="1" ht="49.5" customHeight="1">
      <c r="A27" s="214" t="s">
        <v>19</v>
      </c>
      <c r="B27" s="517" t="s">
        <v>354</v>
      </c>
      <c r="C27" s="177">
        <f>C28+C31+C32</f>
        <v>8667</v>
      </c>
      <c r="D27" s="177">
        <f aca="true" t="shared" si="6" ref="D27:I27">D28+D31+D32</f>
        <v>5667</v>
      </c>
      <c r="E27" s="177">
        <f t="shared" si="6"/>
        <v>3500</v>
      </c>
      <c r="F27" s="177">
        <f t="shared" si="6"/>
        <v>2167</v>
      </c>
      <c r="G27" s="177">
        <f t="shared" si="6"/>
        <v>3000</v>
      </c>
      <c r="H27" s="177">
        <f t="shared" si="6"/>
        <v>3000</v>
      </c>
      <c r="I27" s="177">
        <f t="shared" si="6"/>
        <v>0</v>
      </c>
      <c r="J27" s="177"/>
      <c r="K27" s="3"/>
    </row>
    <row r="28" spans="1:10" ht="75.75" customHeight="1">
      <c r="A28" s="217">
        <v>1</v>
      </c>
      <c r="B28" s="518" t="s">
        <v>518</v>
      </c>
      <c r="C28" s="505">
        <f aca="true" t="shared" si="7" ref="C28:I28">C29+C30</f>
        <v>7567</v>
      </c>
      <c r="D28" s="505">
        <f t="shared" si="7"/>
        <v>4567</v>
      </c>
      <c r="E28" s="505">
        <f t="shared" si="7"/>
        <v>3500</v>
      </c>
      <c r="F28" s="505">
        <f t="shared" si="7"/>
        <v>1067</v>
      </c>
      <c r="G28" s="505">
        <f t="shared" si="7"/>
        <v>3000</v>
      </c>
      <c r="H28" s="505">
        <f t="shared" si="7"/>
        <v>3000</v>
      </c>
      <c r="I28" s="505">
        <f t="shared" si="7"/>
        <v>0</v>
      </c>
      <c r="J28" s="505"/>
    </row>
    <row r="29" spans="1:10" ht="33.75" customHeight="1">
      <c r="A29" s="217" t="s">
        <v>511</v>
      </c>
      <c r="B29" s="513" t="s">
        <v>570</v>
      </c>
      <c r="C29" s="505">
        <f>D29+G29</f>
        <v>6500</v>
      </c>
      <c r="D29" s="514">
        <f>SUM(E29:F29)</f>
        <v>3500</v>
      </c>
      <c r="E29" s="514">
        <v>3500</v>
      </c>
      <c r="F29" s="514"/>
      <c r="G29" s="514">
        <f>SUM(H29:I29)</f>
        <v>3000</v>
      </c>
      <c r="H29" s="514">
        <v>3000</v>
      </c>
      <c r="I29" s="546"/>
      <c r="J29" s="581" t="s">
        <v>633</v>
      </c>
    </row>
    <row r="30" spans="1:10" ht="34.5" customHeight="1">
      <c r="A30" s="217" t="s">
        <v>511</v>
      </c>
      <c r="B30" s="518" t="s">
        <v>629</v>
      </c>
      <c r="C30" s="505">
        <f>D30+G30</f>
        <v>1067</v>
      </c>
      <c r="D30" s="514">
        <f>SUM(E30:F30)</f>
        <v>1067</v>
      </c>
      <c r="E30" s="514">
        <v>0</v>
      </c>
      <c r="F30" s="514">
        <v>1067</v>
      </c>
      <c r="G30" s="546">
        <f aca="true" t="shared" si="8" ref="G30:G40">SUM(H30:I30)</f>
        <v>0</v>
      </c>
      <c r="H30" s="546"/>
      <c r="I30" s="546">
        <v>0</v>
      </c>
      <c r="J30" s="177" t="s">
        <v>628</v>
      </c>
    </row>
    <row r="31" spans="1:10" ht="63" customHeight="1">
      <c r="A31" s="217">
        <v>2</v>
      </c>
      <c r="B31" s="518" t="s">
        <v>648</v>
      </c>
      <c r="C31" s="505">
        <f>D31+G31</f>
        <v>471</v>
      </c>
      <c r="D31" s="514">
        <f>SUM(E31:F31)</f>
        <v>471</v>
      </c>
      <c r="E31" s="514"/>
      <c r="F31" s="514">
        <v>471</v>
      </c>
      <c r="G31" s="546"/>
      <c r="H31" s="546"/>
      <c r="I31" s="546"/>
      <c r="J31" s="177" t="s">
        <v>628</v>
      </c>
    </row>
    <row r="32" spans="1:10" ht="60.75" customHeight="1">
      <c r="A32" s="217">
        <v>3</v>
      </c>
      <c r="B32" s="518" t="s">
        <v>520</v>
      </c>
      <c r="C32" s="505">
        <f>D32+G32</f>
        <v>629</v>
      </c>
      <c r="D32" s="514">
        <f>SUM(E32:F32)</f>
        <v>629</v>
      </c>
      <c r="E32" s="514"/>
      <c r="F32" s="514">
        <v>629</v>
      </c>
      <c r="G32" s="546"/>
      <c r="H32" s="546"/>
      <c r="I32" s="546"/>
      <c r="J32" s="177" t="s">
        <v>628</v>
      </c>
    </row>
    <row r="33" spans="1:10" ht="57.75" customHeight="1">
      <c r="A33" s="214" t="s">
        <v>35</v>
      </c>
      <c r="B33" s="517" t="s">
        <v>522</v>
      </c>
      <c r="C33" s="177">
        <f aca="true" t="shared" si="9" ref="C33:C39">D33+G33</f>
        <v>963</v>
      </c>
      <c r="D33" s="523">
        <f aca="true" t="shared" si="10" ref="D33:D40">SUM(E33:F33)</f>
        <v>963</v>
      </c>
      <c r="E33" s="523"/>
      <c r="F33" s="523">
        <v>963</v>
      </c>
      <c r="G33" s="546">
        <f t="shared" si="8"/>
        <v>0</v>
      </c>
      <c r="H33" s="523"/>
      <c r="I33" s="523"/>
      <c r="J33" s="177" t="s">
        <v>628</v>
      </c>
    </row>
    <row r="34" spans="1:10" ht="64.5" customHeight="1">
      <c r="A34" s="214" t="s">
        <v>36</v>
      </c>
      <c r="B34" s="517" t="s">
        <v>523</v>
      </c>
      <c r="C34" s="177">
        <f t="shared" si="9"/>
        <v>684</v>
      </c>
      <c r="D34" s="523">
        <f t="shared" si="10"/>
        <v>684</v>
      </c>
      <c r="E34" s="523"/>
      <c r="F34" s="523">
        <v>684</v>
      </c>
      <c r="G34" s="546">
        <f t="shared" si="8"/>
        <v>0</v>
      </c>
      <c r="H34" s="523"/>
      <c r="I34" s="523"/>
      <c r="J34" s="177" t="s">
        <v>628</v>
      </c>
    </row>
    <row r="35" spans="1:10" ht="57" customHeight="1">
      <c r="A35" s="214" t="s">
        <v>524</v>
      </c>
      <c r="B35" s="517" t="s">
        <v>525</v>
      </c>
      <c r="C35" s="177">
        <f t="shared" si="9"/>
        <v>1218</v>
      </c>
      <c r="D35" s="523">
        <f t="shared" si="10"/>
        <v>1218</v>
      </c>
      <c r="E35" s="523"/>
      <c r="F35" s="523">
        <v>1218</v>
      </c>
      <c r="G35" s="546">
        <f t="shared" si="8"/>
        <v>0</v>
      </c>
      <c r="H35" s="523"/>
      <c r="I35" s="523"/>
      <c r="J35" s="177" t="s">
        <v>628</v>
      </c>
    </row>
    <row r="36" spans="1:10" ht="52.5" customHeight="1">
      <c r="A36" s="502" t="s">
        <v>526</v>
      </c>
      <c r="B36" s="508" t="s">
        <v>527</v>
      </c>
      <c r="C36" s="177">
        <f t="shared" si="9"/>
        <v>100</v>
      </c>
      <c r="D36" s="523">
        <f>SUM(E36:F36)</f>
        <v>100</v>
      </c>
      <c r="E36" s="177"/>
      <c r="F36" s="177">
        <f>F37</f>
        <v>100</v>
      </c>
      <c r="G36" s="546">
        <f t="shared" si="8"/>
        <v>0</v>
      </c>
      <c r="H36" s="177"/>
      <c r="I36" s="177"/>
      <c r="J36" s="177" t="s">
        <v>628</v>
      </c>
    </row>
    <row r="37" spans="1:10" ht="38.25" customHeight="1">
      <c r="A37" s="510">
        <v>1</v>
      </c>
      <c r="B37" s="511" t="s">
        <v>635</v>
      </c>
      <c r="C37" s="505">
        <f t="shared" si="9"/>
        <v>100</v>
      </c>
      <c r="D37" s="514">
        <f t="shared" si="10"/>
        <v>100</v>
      </c>
      <c r="E37" s="520"/>
      <c r="F37" s="520">
        <v>100</v>
      </c>
      <c r="G37" s="546">
        <f t="shared" si="8"/>
        <v>0</v>
      </c>
      <c r="H37" s="520"/>
      <c r="I37" s="520"/>
      <c r="J37" s="177" t="s">
        <v>628</v>
      </c>
    </row>
    <row r="38" spans="1:10" ht="69" customHeight="1">
      <c r="A38" s="502" t="s">
        <v>14</v>
      </c>
      <c r="B38" s="508" t="s">
        <v>552</v>
      </c>
      <c r="C38" s="177">
        <f t="shared" si="9"/>
        <v>198</v>
      </c>
      <c r="D38" s="523">
        <f>SUM(E38:F38)</f>
        <v>198</v>
      </c>
      <c r="E38" s="177">
        <f>SUM(E39:E40)</f>
        <v>0</v>
      </c>
      <c r="F38" s="177">
        <f>SUM(F39:F40)</f>
        <v>198</v>
      </c>
      <c r="G38" s="177">
        <f>SUM(G39:G40)</f>
        <v>0</v>
      </c>
      <c r="H38" s="177">
        <f>SUM(H39:H40)</f>
        <v>0</v>
      </c>
      <c r="I38" s="177">
        <f>SUM(I39:I40)</f>
        <v>0</v>
      </c>
      <c r="J38" s="177"/>
    </row>
    <row r="39" spans="1:10" ht="64.5" customHeight="1">
      <c r="A39" s="510">
        <v>1</v>
      </c>
      <c r="B39" s="522" t="s">
        <v>529</v>
      </c>
      <c r="C39" s="505">
        <f t="shared" si="9"/>
        <v>91</v>
      </c>
      <c r="D39" s="514">
        <f t="shared" si="10"/>
        <v>91</v>
      </c>
      <c r="E39" s="505"/>
      <c r="F39" s="505">
        <v>91</v>
      </c>
      <c r="G39" s="546">
        <f t="shared" si="8"/>
        <v>0</v>
      </c>
      <c r="H39" s="505"/>
      <c r="I39" s="505"/>
      <c r="J39" s="177" t="s">
        <v>628</v>
      </c>
    </row>
    <row r="40" spans="1:10" ht="46.5" customHeight="1">
      <c r="A40" s="217">
        <v>2</v>
      </c>
      <c r="B40" s="519" t="s">
        <v>531</v>
      </c>
      <c r="C40" s="505">
        <f>SUM(D40:D40)</f>
        <v>107</v>
      </c>
      <c r="D40" s="514">
        <f t="shared" si="10"/>
        <v>107</v>
      </c>
      <c r="E40" s="520"/>
      <c r="F40" s="520">
        <v>107</v>
      </c>
      <c r="G40" s="546">
        <f t="shared" si="8"/>
        <v>0</v>
      </c>
      <c r="H40" s="520"/>
      <c r="I40" s="520"/>
      <c r="J40" s="177" t="s">
        <v>628</v>
      </c>
    </row>
    <row r="43" spans="1:10" ht="20.25" customHeight="1">
      <c r="A43" s="759" t="s">
        <v>693</v>
      </c>
      <c r="B43" s="766"/>
      <c r="C43" s="766"/>
      <c r="D43" s="766"/>
      <c r="E43" s="766"/>
      <c r="F43" s="766"/>
      <c r="G43" s="766"/>
      <c r="H43" s="766"/>
      <c r="I43" s="766"/>
      <c r="J43" s="766"/>
    </row>
  </sheetData>
  <sheetProtection/>
  <mergeCells count="12">
    <mergeCell ref="A2:J2"/>
    <mergeCell ref="A43:J43"/>
    <mergeCell ref="A1:J1"/>
    <mergeCell ref="C5:C7"/>
    <mergeCell ref="D5:I5"/>
    <mergeCell ref="D6:F6"/>
    <mergeCell ref="G6:I6"/>
    <mergeCell ref="C4:I4"/>
    <mergeCell ref="B4:B7"/>
    <mergeCell ref="A4:A7"/>
    <mergeCell ref="J4:J7"/>
    <mergeCell ref="I3:J3"/>
  </mergeCells>
  <printOptions/>
  <pageMargins left="0.45" right="0.39" top="0.49" bottom="0.4" header="0.21" footer="0.24"/>
  <pageSetup horizontalDpi="600" verticalDpi="600" orientation="landscape" paperSize="9" scale="95" r:id="rId1"/>
</worksheet>
</file>

<file path=xl/worksheets/sheet21.xml><?xml version="1.0" encoding="utf-8"?>
<worksheet xmlns="http://schemas.openxmlformats.org/spreadsheetml/2006/main" xmlns:r="http://schemas.openxmlformats.org/officeDocument/2006/relationships">
  <dimension ref="A1:J37"/>
  <sheetViews>
    <sheetView zoomScale="89" zoomScaleNormal="89" zoomScalePageLayoutView="0" workbookViewId="0" topLeftCell="A28">
      <selection activeCell="A37" sqref="A37:J37"/>
    </sheetView>
  </sheetViews>
  <sheetFormatPr defaultColWidth="9.00390625" defaultRowHeight="15.75"/>
  <cols>
    <col min="1" max="1" width="4.75390625" style="4" customWidth="1"/>
    <col min="2" max="2" width="46.625" style="4" customWidth="1"/>
    <col min="3" max="9" width="9.00390625" style="4" customWidth="1"/>
    <col min="10" max="10" width="13.375" style="4" customWidth="1"/>
  </cols>
  <sheetData>
    <row r="1" spans="1:10" ht="101.25" customHeight="1">
      <c r="A1" s="857" t="s">
        <v>642</v>
      </c>
      <c r="B1" s="857"/>
      <c r="C1" s="857"/>
      <c r="D1" s="857"/>
      <c r="E1" s="857"/>
      <c r="F1" s="857"/>
      <c r="G1" s="857"/>
      <c r="H1" s="857"/>
      <c r="I1" s="857"/>
      <c r="J1" s="857"/>
    </row>
    <row r="2" spans="1:10" ht="27" customHeight="1">
      <c r="A2" s="857" t="s">
        <v>616</v>
      </c>
      <c r="B2" s="857"/>
      <c r="C2" s="857"/>
      <c r="D2" s="857"/>
      <c r="E2" s="857"/>
      <c r="F2" s="857"/>
      <c r="G2" s="857"/>
      <c r="H2" s="857"/>
      <c r="I2" s="857"/>
      <c r="J2" s="857"/>
    </row>
    <row r="3" spans="1:10" ht="33" customHeight="1">
      <c r="A3" s="506"/>
      <c r="B3" s="875" t="s">
        <v>557</v>
      </c>
      <c r="C3" s="875"/>
      <c r="D3" s="875"/>
      <c r="E3" s="875"/>
      <c r="F3" s="875"/>
      <c r="G3" s="875"/>
      <c r="H3" s="875"/>
      <c r="I3" s="875"/>
      <c r="J3" s="875"/>
    </row>
    <row r="4" spans="1:10" ht="18.75" customHeight="1">
      <c r="A4" s="879" t="s">
        <v>492</v>
      </c>
      <c r="B4" s="872" t="s">
        <v>493</v>
      </c>
      <c r="C4" s="876" t="s">
        <v>490</v>
      </c>
      <c r="D4" s="877"/>
      <c r="E4" s="877"/>
      <c r="F4" s="877"/>
      <c r="G4" s="877"/>
      <c r="H4" s="877"/>
      <c r="I4" s="878"/>
      <c r="J4" s="863" t="s">
        <v>216</v>
      </c>
    </row>
    <row r="5" spans="1:10" ht="26.25" customHeight="1">
      <c r="A5" s="880"/>
      <c r="B5" s="873"/>
      <c r="C5" s="863" t="s">
        <v>447</v>
      </c>
      <c r="D5" s="869" t="s">
        <v>501</v>
      </c>
      <c r="E5" s="870"/>
      <c r="F5" s="870"/>
      <c r="G5" s="870"/>
      <c r="H5" s="870"/>
      <c r="I5" s="871"/>
      <c r="J5" s="864"/>
    </row>
    <row r="6" spans="1:10" ht="24" customHeight="1">
      <c r="A6" s="880"/>
      <c r="B6" s="873"/>
      <c r="C6" s="864"/>
      <c r="D6" s="866" t="s">
        <v>562</v>
      </c>
      <c r="E6" s="867"/>
      <c r="F6" s="868"/>
      <c r="G6" s="866" t="s">
        <v>563</v>
      </c>
      <c r="H6" s="867"/>
      <c r="I6" s="868"/>
      <c r="J6" s="864"/>
    </row>
    <row r="7" spans="1:10" ht="30" customHeight="1">
      <c r="A7" s="881"/>
      <c r="B7" s="874"/>
      <c r="C7" s="865"/>
      <c r="D7" s="541" t="s">
        <v>447</v>
      </c>
      <c r="E7" s="541" t="s">
        <v>478</v>
      </c>
      <c r="F7" s="541" t="s">
        <v>479</v>
      </c>
      <c r="G7" s="541" t="s">
        <v>447</v>
      </c>
      <c r="H7" s="541" t="s">
        <v>478</v>
      </c>
      <c r="I7" s="541" t="s">
        <v>479</v>
      </c>
      <c r="J7" s="865"/>
    </row>
    <row r="8" spans="1:10" ht="24" customHeight="1">
      <c r="A8" s="214"/>
      <c r="B8" s="214" t="s">
        <v>571</v>
      </c>
      <c r="C8" s="177">
        <f aca="true" t="shared" si="0" ref="C8:I8">C9+C14+C17+C23+C28+C29+C30+C31+C33</f>
        <v>41387</v>
      </c>
      <c r="D8" s="177">
        <f t="shared" si="0"/>
        <v>36310</v>
      </c>
      <c r="E8" s="177">
        <f t="shared" si="0"/>
        <v>28297</v>
      </c>
      <c r="F8" s="177">
        <f t="shared" si="0"/>
        <v>8013</v>
      </c>
      <c r="G8" s="177">
        <f t="shared" si="0"/>
        <v>4316</v>
      </c>
      <c r="H8" s="177">
        <f t="shared" si="0"/>
        <v>4316</v>
      </c>
      <c r="I8" s="177">
        <f t="shared" si="0"/>
        <v>0</v>
      </c>
      <c r="J8" s="547"/>
    </row>
    <row r="9" spans="1:10" ht="36.75" customHeight="1">
      <c r="A9" s="214" t="s">
        <v>13</v>
      </c>
      <c r="B9" s="503" t="s">
        <v>506</v>
      </c>
      <c r="C9" s="177">
        <f aca="true" t="shared" si="1" ref="C9:I9">C10+C11+C12</f>
        <v>4876</v>
      </c>
      <c r="D9" s="177">
        <f t="shared" si="1"/>
        <v>4560</v>
      </c>
      <c r="E9" s="177">
        <f t="shared" si="1"/>
        <v>3460</v>
      </c>
      <c r="F9" s="177">
        <f t="shared" si="1"/>
        <v>1100</v>
      </c>
      <c r="G9" s="177">
        <f t="shared" si="1"/>
        <v>316</v>
      </c>
      <c r="H9" s="177">
        <f t="shared" si="1"/>
        <v>316</v>
      </c>
      <c r="I9" s="177">
        <f t="shared" si="1"/>
        <v>0</v>
      </c>
      <c r="J9" s="547" t="s">
        <v>628</v>
      </c>
    </row>
    <row r="10" spans="1:10" ht="27" customHeight="1">
      <c r="A10" s="217">
        <v>1</v>
      </c>
      <c r="B10" s="513" t="s">
        <v>507</v>
      </c>
      <c r="C10" s="505">
        <f>D10+G10</f>
        <v>3476</v>
      </c>
      <c r="D10" s="514">
        <f>SUM(E10:F10)</f>
        <v>3160</v>
      </c>
      <c r="E10" s="514">
        <v>3160</v>
      </c>
      <c r="F10" s="514">
        <v>0</v>
      </c>
      <c r="G10" s="505">
        <f>SUM(H10:I10)</f>
        <v>316</v>
      </c>
      <c r="H10" s="505">
        <v>316</v>
      </c>
      <c r="I10" s="505">
        <v>0</v>
      </c>
      <c r="J10" s="548"/>
    </row>
    <row r="11" spans="1:10" ht="26.25" customHeight="1">
      <c r="A11" s="217">
        <v>2</v>
      </c>
      <c r="B11" s="513" t="s">
        <v>395</v>
      </c>
      <c r="C11" s="505">
        <f>SUM(D11:D11)</f>
        <v>1100</v>
      </c>
      <c r="D11" s="514">
        <f>SUM(E11:F11)</f>
        <v>1100</v>
      </c>
      <c r="E11" s="514"/>
      <c r="F11" s="514">
        <v>1100</v>
      </c>
      <c r="G11" s="505">
        <f>SUM(H11:I11)</f>
        <v>0</v>
      </c>
      <c r="H11" s="505"/>
      <c r="I11" s="505"/>
      <c r="J11" s="548"/>
    </row>
    <row r="12" spans="1:10" ht="26.25" customHeight="1">
      <c r="A12" s="217">
        <v>3</v>
      </c>
      <c r="B12" s="513" t="s">
        <v>508</v>
      </c>
      <c r="C12" s="505">
        <f>SUM(C13:C13)</f>
        <v>300</v>
      </c>
      <c r="D12" s="505">
        <f aca="true" t="shared" si="2" ref="D12:I12">SUM(D13:D13)</f>
        <v>300</v>
      </c>
      <c r="E12" s="505">
        <f>SUM(E13:E13)</f>
        <v>300</v>
      </c>
      <c r="F12" s="505">
        <f t="shared" si="2"/>
        <v>0</v>
      </c>
      <c r="G12" s="505">
        <f t="shared" si="2"/>
        <v>0</v>
      </c>
      <c r="H12" s="505">
        <f t="shared" si="2"/>
        <v>0</v>
      </c>
      <c r="I12" s="505">
        <f t="shared" si="2"/>
        <v>0</v>
      </c>
      <c r="J12" s="547"/>
    </row>
    <row r="13" spans="1:10" ht="27" customHeight="1">
      <c r="A13" s="214" t="s">
        <v>511</v>
      </c>
      <c r="B13" s="513" t="s">
        <v>512</v>
      </c>
      <c r="C13" s="505">
        <f>SUM(D13:D13)</f>
        <v>300</v>
      </c>
      <c r="D13" s="514">
        <f>SUM(E13:F13)</f>
        <v>300</v>
      </c>
      <c r="E13" s="514">
        <v>300</v>
      </c>
      <c r="F13" s="514"/>
      <c r="G13" s="505">
        <f>SUM(H13:I13)</f>
        <v>0</v>
      </c>
      <c r="H13" s="505"/>
      <c r="I13" s="505"/>
      <c r="J13" s="548"/>
    </row>
    <row r="14" spans="1:10" ht="60" customHeight="1">
      <c r="A14" s="214" t="s">
        <v>15</v>
      </c>
      <c r="B14" s="517" t="s">
        <v>514</v>
      </c>
      <c r="C14" s="177">
        <f aca="true" t="shared" si="3" ref="C14:I14">C15</f>
        <v>2648</v>
      </c>
      <c r="D14" s="177">
        <f t="shared" si="3"/>
        <v>2648</v>
      </c>
      <c r="E14" s="177">
        <f t="shared" si="3"/>
        <v>0</v>
      </c>
      <c r="F14" s="177">
        <f t="shared" si="3"/>
        <v>2648</v>
      </c>
      <c r="G14" s="177">
        <f t="shared" si="3"/>
        <v>0</v>
      </c>
      <c r="H14" s="177">
        <f t="shared" si="3"/>
        <v>0</v>
      </c>
      <c r="I14" s="177">
        <f t="shared" si="3"/>
        <v>0</v>
      </c>
      <c r="J14" s="547" t="s">
        <v>628</v>
      </c>
    </row>
    <row r="15" spans="1:10" s="4" customFormat="1" ht="66.75" customHeight="1">
      <c r="A15" s="217">
        <v>1</v>
      </c>
      <c r="B15" s="521" t="s">
        <v>516</v>
      </c>
      <c r="C15" s="505">
        <f>SUM(C16:C16)</f>
        <v>2648</v>
      </c>
      <c r="D15" s="505">
        <f aca="true" t="shared" si="4" ref="D15:I15">SUM(D16:D16)</f>
        <v>2648</v>
      </c>
      <c r="E15" s="505">
        <f t="shared" si="4"/>
        <v>0</v>
      </c>
      <c r="F15" s="505">
        <f t="shared" si="4"/>
        <v>2648</v>
      </c>
      <c r="G15" s="505">
        <f t="shared" si="4"/>
        <v>0</v>
      </c>
      <c r="H15" s="505">
        <f t="shared" si="4"/>
        <v>0</v>
      </c>
      <c r="I15" s="505">
        <f t="shared" si="4"/>
        <v>0</v>
      </c>
      <c r="J15" s="548"/>
    </row>
    <row r="16" spans="1:10" ht="65.25" customHeight="1">
      <c r="A16" s="217" t="s">
        <v>511</v>
      </c>
      <c r="B16" s="521" t="s">
        <v>572</v>
      </c>
      <c r="C16" s="505">
        <f>SUM(D16:D16)</f>
        <v>2648</v>
      </c>
      <c r="D16" s="520">
        <f>SUM(E16:F16)</f>
        <v>2648</v>
      </c>
      <c r="E16" s="520"/>
      <c r="F16" s="520">
        <v>2648</v>
      </c>
      <c r="G16" s="505">
        <v>0</v>
      </c>
      <c r="H16" s="505"/>
      <c r="I16" s="505"/>
      <c r="J16" s="548"/>
    </row>
    <row r="17" spans="1:10" ht="72.75" customHeight="1">
      <c r="A17" s="214" t="s">
        <v>12</v>
      </c>
      <c r="B17" s="517" t="s">
        <v>347</v>
      </c>
      <c r="C17" s="177">
        <f>C18</f>
        <v>25568</v>
      </c>
      <c r="D17" s="177">
        <f aca="true" t="shared" si="5" ref="D17:I17">D18</f>
        <v>22807</v>
      </c>
      <c r="E17" s="177">
        <f t="shared" si="5"/>
        <v>21837</v>
      </c>
      <c r="F17" s="177">
        <f t="shared" si="5"/>
        <v>970</v>
      </c>
      <c r="G17" s="177">
        <f t="shared" si="5"/>
        <v>2000</v>
      </c>
      <c r="H17" s="177">
        <f t="shared" si="5"/>
        <v>2000</v>
      </c>
      <c r="I17" s="177">
        <f t="shared" si="5"/>
        <v>0</v>
      </c>
      <c r="J17" s="547"/>
    </row>
    <row r="18" spans="1:10" ht="57" customHeight="1">
      <c r="A18" s="217">
        <v>1</v>
      </c>
      <c r="B18" s="521" t="s">
        <v>517</v>
      </c>
      <c r="C18" s="505">
        <f>SUM(C19:C22)</f>
        <v>25568</v>
      </c>
      <c r="D18" s="505">
        <f aca="true" t="shared" si="6" ref="D18:I18">SUM(D19:D21)</f>
        <v>22807</v>
      </c>
      <c r="E18" s="550">
        <f t="shared" si="6"/>
        <v>21837</v>
      </c>
      <c r="F18" s="505">
        <f t="shared" si="6"/>
        <v>970</v>
      </c>
      <c r="G18" s="505">
        <f t="shared" si="6"/>
        <v>2000</v>
      </c>
      <c r="H18" s="505">
        <f t="shared" si="6"/>
        <v>2000</v>
      </c>
      <c r="I18" s="505">
        <f t="shared" si="6"/>
        <v>0</v>
      </c>
      <c r="J18" s="548"/>
    </row>
    <row r="19" spans="1:10" ht="31.5" customHeight="1">
      <c r="A19" s="217" t="s">
        <v>511</v>
      </c>
      <c r="B19" s="513" t="s">
        <v>545</v>
      </c>
      <c r="C19" s="505">
        <f>D19+G19</f>
        <v>17837</v>
      </c>
      <c r="D19" s="514">
        <f>SUM(E19:F19)</f>
        <v>17837</v>
      </c>
      <c r="E19" s="551">
        <v>17837</v>
      </c>
      <c r="F19" s="514"/>
      <c r="G19" s="514">
        <f>SUM(H19:I19)</f>
        <v>0</v>
      </c>
      <c r="H19" s="514"/>
      <c r="I19" s="514"/>
      <c r="J19" s="547" t="s">
        <v>628</v>
      </c>
    </row>
    <row r="20" spans="1:10" ht="24.75" customHeight="1">
      <c r="A20" s="217" t="s">
        <v>511</v>
      </c>
      <c r="B20" s="513" t="s">
        <v>631</v>
      </c>
      <c r="C20" s="505">
        <f>D20+G20</f>
        <v>970</v>
      </c>
      <c r="D20" s="514">
        <f>SUM(E20:F20)</f>
        <v>970</v>
      </c>
      <c r="E20" s="551"/>
      <c r="F20" s="514">
        <v>970</v>
      </c>
      <c r="G20" s="514">
        <f>SUM(H20:I20)</f>
        <v>0</v>
      </c>
      <c r="H20" s="514"/>
      <c r="I20" s="514"/>
      <c r="J20" s="547" t="s">
        <v>628</v>
      </c>
    </row>
    <row r="21" spans="1:10" ht="30.75">
      <c r="A21" s="217" t="s">
        <v>511</v>
      </c>
      <c r="B21" s="518" t="s">
        <v>546</v>
      </c>
      <c r="C21" s="505">
        <f>D21+G21</f>
        <v>6000</v>
      </c>
      <c r="D21" s="514">
        <f>SUM(E21:F21)</f>
        <v>4000</v>
      </c>
      <c r="E21" s="551">
        <v>4000</v>
      </c>
      <c r="F21" s="514"/>
      <c r="G21" s="514">
        <f>SUM(H21:I21)</f>
        <v>2000</v>
      </c>
      <c r="H21" s="514">
        <v>2000</v>
      </c>
      <c r="I21" s="514"/>
      <c r="J21" s="582" t="s">
        <v>638</v>
      </c>
    </row>
    <row r="22" spans="1:10" ht="18.75" customHeight="1">
      <c r="A22" s="217" t="s">
        <v>511</v>
      </c>
      <c r="B22" s="518" t="s">
        <v>632</v>
      </c>
      <c r="C22" s="505">
        <f>D22+G22</f>
        <v>761</v>
      </c>
      <c r="D22" s="514">
        <f>SUM(E22:F22)</f>
        <v>761</v>
      </c>
      <c r="E22" s="551">
        <v>761</v>
      </c>
      <c r="F22" s="514"/>
      <c r="G22" s="514"/>
      <c r="H22" s="514"/>
      <c r="I22" s="514"/>
      <c r="J22" s="547" t="s">
        <v>628</v>
      </c>
    </row>
    <row r="23" spans="1:10" ht="34.5" customHeight="1">
      <c r="A23" s="214" t="s">
        <v>16</v>
      </c>
      <c r="B23" s="517" t="s">
        <v>354</v>
      </c>
      <c r="C23" s="177">
        <f>C24+C26+C27</f>
        <v>6032</v>
      </c>
      <c r="D23" s="177">
        <f aca="true" t="shared" si="7" ref="D23:I23">D24+D26+D27</f>
        <v>4032</v>
      </c>
      <c r="E23" s="177">
        <f t="shared" si="7"/>
        <v>3000</v>
      </c>
      <c r="F23" s="177">
        <f t="shared" si="7"/>
        <v>1032</v>
      </c>
      <c r="G23" s="177">
        <f t="shared" si="7"/>
        <v>2000</v>
      </c>
      <c r="H23" s="177">
        <f t="shared" si="7"/>
        <v>2000</v>
      </c>
      <c r="I23" s="177">
        <f t="shared" si="7"/>
        <v>0</v>
      </c>
      <c r="J23" s="547"/>
    </row>
    <row r="24" spans="1:10" ht="70.5" customHeight="1">
      <c r="A24" s="217">
        <v>1</v>
      </c>
      <c r="B24" s="518" t="s">
        <v>518</v>
      </c>
      <c r="C24" s="505">
        <f aca="true" t="shared" si="8" ref="C24:I24">C25</f>
        <v>5000</v>
      </c>
      <c r="D24" s="505">
        <f t="shared" si="8"/>
        <v>3000</v>
      </c>
      <c r="E24" s="505">
        <f t="shared" si="8"/>
        <v>3000</v>
      </c>
      <c r="F24" s="505">
        <f t="shared" si="8"/>
        <v>0</v>
      </c>
      <c r="G24" s="505">
        <f t="shared" si="8"/>
        <v>2000</v>
      </c>
      <c r="H24" s="505">
        <f t="shared" si="8"/>
        <v>2000</v>
      </c>
      <c r="I24" s="505">
        <f t="shared" si="8"/>
        <v>0</v>
      </c>
      <c r="J24" s="548"/>
    </row>
    <row r="25" spans="1:10" ht="26.25" customHeight="1">
      <c r="A25" s="217" t="s">
        <v>511</v>
      </c>
      <c r="B25" s="513" t="s">
        <v>570</v>
      </c>
      <c r="C25" s="505">
        <f>D25+G25</f>
        <v>5000</v>
      </c>
      <c r="D25" s="514">
        <f aca="true" t="shared" si="9" ref="D25:D35">SUM(E25:F25)</f>
        <v>3000</v>
      </c>
      <c r="E25" s="514">
        <v>3000</v>
      </c>
      <c r="F25" s="514"/>
      <c r="G25" s="514">
        <f aca="true" t="shared" si="10" ref="G25:G32">SUM(H25:I25)</f>
        <v>2000</v>
      </c>
      <c r="H25" s="514">
        <v>2000</v>
      </c>
      <c r="I25" s="514"/>
      <c r="J25" s="582" t="s">
        <v>638</v>
      </c>
    </row>
    <row r="26" spans="1:10" ht="49.5" customHeight="1">
      <c r="A26" s="217">
        <v>2</v>
      </c>
      <c r="B26" s="518" t="s">
        <v>356</v>
      </c>
      <c r="C26" s="505">
        <f>D26+G26</f>
        <v>347</v>
      </c>
      <c r="D26" s="514">
        <f>SUM(E26:F26)</f>
        <v>347</v>
      </c>
      <c r="E26" s="514"/>
      <c r="F26" s="514">
        <v>347</v>
      </c>
      <c r="G26" s="514"/>
      <c r="H26" s="514"/>
      <c r="I26" s="514"/>
      <c r="J26" s="177" t="s">
        <v>628</v>
      </c>
    </row>
    <row r="27" spans="1:10" ht="50.25" customHeight="1">
      <c r="A27" s="217">
        <v>3</v>
      </c>
      <c r="B27" s="518" t="s">
        <v>520</v>
      </c>
      <c r="C27" s="505">
        <f>D27+G27</f>
        <v>685</v>
      </c>
      <c r="D27" s="514">
        <f>SUM(E27:F27)</f>
        <v>685</v>
      </c>
      <c r="E27" s="514"/>
      <c r="F27" s="514">
        <v>685</v>
      </c>
      <c r="G27" s="514"/>
      <c r="H27" s="514"/>
      <c r="I27" s="514"/>
      <c r="J27" s="177" t="s">
        <v>628</v>
      </c>
    </row>
    <row r="28" spans="1:10" ht="54.75" customHeight="1">
      <c r="A28" s="214" t="s">
        <v>19</v>
      </c>
      <c r="B28" s="517" t="s">
        <v>522</v>
      </c>
      <c r="C28" s="177">
        <f aca="true" t="shared" si="11" ref="C28:C34">D28+G28</f>
        <v>418</v>
      </c>
      <c r="D28" s="523">
        <f t="shared" si="9"/>
        <v>418</v>
      </c>
      <c r="E28" s="523"/>
      <c r="F28" s="523">
        <v>418</v>
      </c>
      <c r="G28" s="514">
        <f t="shared" si="10"/>
        <v>0</v>
      </c>
      <c r="H28" s="523"/>
      <c r="I28" s="523"/>
      <c r="J28" s="177" t="s">
        <v>628</v>
      </c>
    </row>
    <row r="29" spans="1:10" ht="54" customHeight="1">
      <c r="A29" s="214" t="s">
        <v>35</v>
      </c>
      <c r="B29" s="517" t="s">
        <v>523</v>
      </c>
      <c r="C29" s="177">
        <f t="shared" si="11"/>
        <v>620</v>
      </c>
      <c r="D29" s="523">
        <f t="shared" si="9"/>
        <v>620</v>
      </c>
      <c r="E29" s="523"/>
      <c r="F29" s="523">
        <v>620</v>
      </c>
      <c r="G29" s="514">
        <f t="shared" si="10"/>
        <v>0</v>
      </c>
      <c r="H29" s="523"/>
      <c r="I29" s="523"/>
      <c r="J29" s="177" t="s">
        <v>628</v>
      </c>
    </row>
    <row r="30" spans="1:10" ht="33" customHeight="1">
      <c r="A30" s="214" t="s">
        <v>36</v>
      </c>
      <c r="B30" s="517" t="s">
        <v>525</v>
      </c>
      <c r="C30" s="177">
        <f t="shared" si="11"/>
        <v>857</v>
      </c>
      <c r="D30" s="523">
        <f t="shared" si="9"/>
        <v>857</v>
      </c>
      <c r="E30" s="523"/>
      <c r="F30" s="523">
        <v>857</v>
      </c>
      <c r="G30" s="514">
        <f t="shared" si="10"/>
        <v>0</v>
      </c>
      <c r="H30" s="523"/>
      <c r="I30" s="523"/>
      <c r="J30" s="177" t="s">
        <v>628</v>
      </c>
    </row>
    <row r="31" spans="1:10" ht="53.25" customHeight="1">
      <c r="A31" s="214" t="s">
        <v>524</v>
      </c>
      <c r="B31" s="517" t="s">
        <v>527</v>
      </c>
      <c r="C31" s="177">
        <f t="shared" si="11"/>
        <v>146</v>
      </c>
      <c r="D31" s="523">
        <f t="shared" si="9"/>
        <v>146</v>
      </c>
      <c r="E31" s="177"/>
      <c r="F31" s="553">
        <f>F32</f>
        <v>146</v>
      </c>
      <c r="G31" s="514">
        <f t="shared" si="10"/>
        <v>0</v>
      </c>
      <c r="H31" s="177"/>
      <c r="I31" s="177"/>
      <c r="J31" s="547"/>
    </row>
    <row r="32" spans="1:10" ht="36" customHeight="1">
      <c r="A32" s="217">
        <v>1</v>
      </c>
      <c r="B32" s="518" t="s">
        <v>528</v>
      </c>
      <c r="C32" s="505">
        <f t="shared" si="11"/>
        <v>146</v>
      </c>
      <c r="D32" s="514">
        <f t="shared" si="9"/>
        <v>146</v>
      </c>
      <c r="E32" s="520"/>
      <c r="F32" s="520">
        <v>146</v>
      </c>
      <c r="G32" s="514">
        <f t="shared" si="10"/>
        <v>0</v>
      </c>
      <c r="H32" s="520"/>
      <c r="I32" s="520"/>
      <c r="J32" s="177" t="s">
        <v>628</v>
      </c>
    </row>
    <row r="33" spans="1:10" ht="70.5" customHeight="1">
      <c r="A33" s="214" t="s">
        <v>526</v>
      </c>
      <c r="B33" s="517" t="s">
        <v>552</v>
      </c>
      <c r="C33" s="177">
        <f t="shared" si="11"/>
        <v>222</v>
      </c>
      <c r="D33" s="523">
        <f t="shared" si="9"/>
        <v>222</v>
      </c>
      <c r="E33" s="177">
        <f>SUM(E34:E35)</f>
        <v>0</v>
      </c>
      <c r="F33" s="177">
        <f>SUM(F34:F35)</f>
        <v>222</v>
      </c>
      <c r="G33" s="177">
        <f>SUM(G34:G35)</f>
        <v>0</v>
      </c>
      <c r="H33" s="177">
        <f>SUM(H34:H35)</f>
        <v>0</v>
      </c>
      <c r="I33" s="177">
        <f>SUM(I34:I35)</f>
        <v>0</v>
      </c>
      <c r="J33" s="177" t="s">
        <v>628</v>
      </c>
    </row>
    <row r="34" spans="1:10" ht="48" customHeight="1">
      <c r="A34" s="217">
        <v>1</v>
      </c>
      <c r="B34" s="504" t="s">
        <v>529</v>
      </c>
      <c r="C34" s="505">
        <f t="shared" si="11"/>
        <v>151</v>
      </c>
      <c r="D34" s="514">
        <f t="shared" si="9"/>
        <v>151</v>
      </c>
      <c r="E34" s="505"/>
      <c r="F34" s="505">
        <v>151</v>
      </c>
      <c r="G34" s="514">
        <f>SUM(H34:I34)</f>
        <v>0</v>
      </c>
      <c r="H34" s="505"/>
      <c r="I34" s="505"/>
      <c r="J34" s="177"/>
    </row>
    <row r="35" spans="1:10" ht="37.5" customHeight="1">
      <c r="A35" s="217">
        <v>2</v>
      </c>
      <c r="B35" s="521" t="s">
        <v>531</v>
      </c>
      <c r="C35" s="505">
        <f>SUM(D35:D35)</f>
        <v>71</v>
      </c>
      <c r="D35" s="514">
        <f t="shared" si="9"/>
        <v>71</v>
      </c>
      <c r="E35" s="520"/>
      <c r="F35" s="520">
        <v>71</v>
      </c>
      <c r="G35" s="514">
        <f>SUM(H35:I35)</f>
        <v>0</v>
      </c>
      <c r="H35" s="520"/>
      <c r="I35" s="520"/>
      <c r="J35" s="177"/>
    </row>
    <row r="37" spans="1:10" ht="20.25" customHeight="1">
      <c r="A37" s="759" t="s">
        <v>693</v>
      </c>
      <c r="B37" s="766"/>
      <c r="C37" s="766"/>
      <c r="D37" s="766"/>
      <c r="E37" s="766"/>
      <c r="F37" s="766"/>
      <c r="G37" s="766"/>
      <c r="H37" s="766"/>
      <c r="I37" s="766"/>
      <c r="J37" s="766"/>
    </row>
  </sheetData>
  <sheetProtection/>
  <mergeCells count="12">
    <mergeCell ref="A37:J37"/>
    <mergeCell ref="A1:J1"/>
    <mergeCell ref="B3:J3"/>
    <mergeCell ref="C4:I4"/>
    <mergeCell ref="A4:A7"/>
    <mergeCell ref="G6:I6"/>
    <mergeCell ref="D6:F6"/>
    <mergeCell ref="D5:I5"/>
    <mergeCell ref="C5:C7"/>
    <mergeCell ref="B4:B7"/>
    <mergeCell ref="A2:J2"/>
    <mergeCell ref="J4:J7"/>
  </mergeCells>
  <printOptions/>
  <pageMargins left="0.45" right="0.45" top="0.55" bottom="0.53" header="0.31496062992125984" footer="0.31496062992125984"/>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J39"/>
  <sheetViews>
    <sheetView zoomScale="77" zoomScaleNormal="77" zoomScalePageLayoutView="0" workbookViewId="0" topLeftCell="A34">
      <selection activeCell="A39" sqref="A39:J39"/>
    </sheetView>
  </sheetViews>
  <sheetFormatPr defaultColWidth="9.00390625" defaultRowHeight="15.75"/>
  <cols>
    <col min="1" max="1" width="4.00390625" style="3" customWidth="1"/>
    <col min="2" max="2" width="50.00390625" style="3" customWidth="1"/>
    <col min="3" max="9" width="9.00390625" style="3" customWidth="1"/>
    <col min="10" max="10" width="13.75390625" style="3" customWidth="1"/>
  </cols>
  <sheetData>
    <row r="1" spans="1:10" ht="82.5" customHeight="1">
      <c r="A1" s="857" t="s">
        <v>643</v>
      </c>
      <c r="B1" s="857"/>
      <c r="C1" s="857"/>
      <c r="D1" s="857"/>
      <c r="E1" s="857"/>
      <c r="F1" s="857"/>
      <c r="G1" s="857"/>
      <c r="H1" s="857"/>
      <c r="I1" s="857"/>
      <c r="J1" s="857"/>
    </row>
    <row r="2" spans="1:10" ht="34.5" customHeight="1">
      <c r="A2" s="857" t="s">
        <v>617</v>
      </c>
      <c r="B2" s="857"/>
      <c r="C2" s="857"/>
      <c r="D2" s="857"/>
      <c r="E2" s="857"/>
      <c r="F2" s="857"/>
      <c r="G2" s="857"/>
      <c r="H2" s="857"/>
      <c r="I2" s="857"/>
      <c r="J2" s="857"/>
    </row>
    <row r="3" spans="1:10" ht="18">
      <c r="A3" s="506"/>
      <c r="B3" s="882" t="s">
        <v>557</v>
      </c>
      <c r="C3" s="882"/>
      <c r="D3" s="882"/>
      <c r="E3" s="882"/>
      <c r="F3" s="882"/>
      <c r="G3" s="882"/>
      <c r="H3" s="882"/>
      <c r="I3" s="882"/>
      <c r="J3" s="882"/>
    </row>
    <row r="4" spans="1:10" ht="18">
      <c r="A4" s="862" t="s">
        <v>492</v>
      </c>
      <c r="B4" s="861" t="s">
        <v>493</v>
      </c>
      <c r="C4" s="860" t="s">
        <v>490</v>
      </c>
      <c r="D4" s="860"/>
      <c r="E4" s="860"/>
      <c r="F4" s="860"/>
      <c r="G4" s="860"/>
      <c r="H4" s="860"/>
      <c r="I4" s="860"/>
      <c r="J4" s="863" t="s">
        <v>216</v>
      </c>
    </row>
    <row r="5" spans="1:10" ht="15.75" customHeight="1">
      <c r="A5" s="862"/>
      <c r="B5" s="861"/>
      <c r="C5" s="858" t="s">
        <v>447</v>
      </c>
      <c r="D5" s="858" t="s">
        <v>501</v>
      </c>
      <c r="E5" s="858"/>
      <c r="F5" s="858"/>
      <c r="G5" s="858"/>
      <c r="H5" s="858"/>
      <c r="I5" s="858"/>
      <c r="J5" s="864"/>
    </row>
    <row r="6" spans="1:10" ht="21.75" customHeight="1">
      <c r="A6" s="862"/>
      <c r="B6" s="861"/>
      <c r="C6" s="858"/>
      <c r="D6" s="859" t="s">
        <v>562</v>
      </c>
      <c r="E6" s="859"/>
      <c r="F6" s="859"/>
      <c r="G6" s="859" t="s">
        <v>563</v>
      </c>
      <c r="H6" s="859"/>
      <c r="I6" s="859"/>
      <c r="J6" s="864"/>
    </row>
    <row r="7" spans="1:10" ht="30.75" customHeight="1">
      <c r="A7" s="862"/>
      <c r="B7" s="861"/>
      <c r="C7" s="858"/>
      <c r="D7" s="541" t="s">
        <v>447</v>
      </c>
      <c r="E7" s="541" t="s">
        <v>478</v>
      </c>
      <c r="F7" s="541" t="s">
        <v>479</v>
      </c>
      <c r="G7" s="541" t="s">
        <v>447</v>
      </c>
      <c r="H7" s="541" t="s">
        <v>478</v>
      </c>
      <c r="I7" s="541" t="s">
        <v>479</v>
      </c>
      <c r="J7" s="865"/>
    </row>
    <row r="8" spans="1:10" ht="26.25" customHeight="1">
      <c r="A8" s="214"/>
      <c r="B8" s="214" t="s">
        <v>571</v>
      </c>
      <c r="C8" s="177">
        <f aca="true" t="shared" si="0" ref="C8:I8">C9+C15+C18+C25+C30+C31+C32+C33+C35</f>
        <v>40974</v>
      </c>
      <c r="D8" s="177">
        <f t="shared" si="0"/>
        <v>33466</v>
      </c>
      <c r="E8" s="177">
        <f t="shared" si="0"/>
        <v>25984</v>
      </c>
      <c r="F8" s="177">
        <f t="shared" si="0"/>
        <v>7482</v>
      </c>
      <c r="G8" s="177">
        <f t="shared" si="0"/>
        <v>7508</v>
      </c>
      <c r="H8" s="177">
        <f t="shared" si="0"/>
        <v>7508</v>
      </c>
      <c r="I8" s="177">
        <f t="shared" si="0"/>
        <v>0</v>
      </c>
      <c r="J8" s="547"/>
    </row>
    <row r="9" spans="1:10" ht="42" customHeight="1">
      <c r="A9" s="214" t="s">
        <v>13</v>
      </c>
      <c r="B9" s="503" t="s">
        <v>506</v>
      </c>
      <c r="C9" s="177">
        <f>C10+C11+C12</f>
        <v>9210</v>
      </c>
      <c r="D9" s="177">
        <f aca="true" t="shared" si="1" ref="D9:I9">D10+D11+D12</f>
        <v>8702</v>
      </c>
      <c r="E9" s="177">
        <f t="shared" si="1"/>
        <v>5380</v>
      </c>
      <c r="F9" s="177">
        <f t="shared" si="1"/>
        <v>3322</v>
      </c>
      <c r="G9" s="177">
        <f t="shared" si="1"/>
        <v>508</v>
      </c>
      <c r="H9" s="177">
        <f t="shared" si="1"/>
        <v>508</v>
      </c>
      <c r="I9" s="177">
        <f t="shared" si="1"/>
        <v>0</v>
      </c>
      <c r="J9" s="547" t="s">
        <v>628</v>
      </c>
    </row>
    <row r="10" spans="1:10" ht="27.75" customHeight="1">
      <c r="A10" s="217">
        <v>1</v>
      </c>
      <c r="B10" s="513" t="s">
        <v>507</v>
      </c>
      <c r="C10" s="505">
        <f>D10+G10</f>
        <v>5588</v>
      </c>
      <c r="D10" s="514">
        <f>SUM(E10:F10)</f>
        <v>5080</v>
      </c>
      <c r="E10" s="514">
        <v>5080</v>
      </c>
      <c r="F10" s="514"/>
      <c r="G10" s="505">
        <v>508</v>
      </c>
      <c r="H10" s="505">
        <v>508</v>
      </c>
      <c r="I10" s="505"/>
      <c r="J10" s="548"/>
    </row>
    <row r="11" spans="1:10" ht="30.75" customHeight="1">
      <c r="A11" s="217">
        <v>2</v>
      </c>
      <c r="B11" s="513" t="s">
        <v>395</v>
      </c>
      <c r="C11" s="505">
        <f>D11+G11</f>
        <v>2500</v>
      </c>
      <c r="D11" s="514">
        <f>SUM(E11:F11)</f>
        <v>2500</v>
      </c>
      <c r="E11" s="514"/>
      <c r="F11" s="514">
        <v>2500</v>
      </c>
      <c r="G11" s="505">
        <v>0</v>
      </c>
      <c r="H11" s="505"/>
      <c r="I11" s="505"/>
      <c r="J11" s="548"/>
    </row>
    <row r="12" spans="1:10" ht="30" customHeight="1">
      <c r="A12" s="217">
        <v>3</v>
      </c>
      <c r="B12" s="513" t="s">
        <v>508</v>
      </c>
      <c r="C12" s="505">
        <f>D12+G12</f>
        <v>1122</v>
      </c>
      <c r="D12" s="514">
        <f>SUM(E12:F12)</f>
        <v>1122</v>
      </c>
      <c r="E12" s="514">
        <f>SUM(E13:E14)</f>
        <v>300</v>
      </c>
      <c r="F12" s="514">
        <f>SUM(F13:F14)</f>
        <v>822</v>
      </c>
      <c r="G12" s="514">
        <f>SUM(G13:G14)</f>
        <v>0</v>
      </c>
      <c r="H12" s="514">
        <f>SUM(H13:H14)</f>
        <v>0</v>
      </c>
      <c r="I12" s="514">
        <f>SUM(I13:I14)</f>
        <v>0</v>
      </c>
      <c r="J12" s="548"/>
    </row>
    <row r="13" spans="1:10" ht="29.25" customHeight="1">
      <c r="A13" s="214" t="s">
        <v>509</v>
      </c>
      <c r="B13" s="513" t="s">
        <v>510</v>
      </c>
      <c r="C13" s="505">
        <f>D13+G13</f>
        <v>822</v>
      </c>
      <c r="D13" s="514">
        <f>SUM(E13:F13)</f>
        <v>822</v>
      </c>
      <c r="E13" s="514"/>
      <c r="F13" s="514">
        <v>822</v>
      </c>
      <c r="G13" s="505">
        <v>0</v>
      </c>
      <c r="H13" s="505"/>
      <c r="I13" s="505"/>
      <c r="J13" s="548"/>
    </row>
    <row r="14" spans="1:10" ht="26.25" customHeight="1">
      <c r="A14" s="214" t="s">
        <v>511</v>
      </c>
      <c r="B14" s="513" t="s">
        <v>512</v>
      </c>
      <c r="C14" s="505">
        <f>D14+G14</f>
        <v>300</v>
      </c>
      <c r="D14" s="514">
        <f>SUM(E14:F14)</f>
        <v>300</v>
      </c>
      <c r="E14" s="514">
        <v>300</v>
      </c>
      <c r="F14" s="514"/>
      <c r="G14" s="505">
        <v>0</v>
      </c>
      <c r="H14" s="505"/>
      <c r="I14" s="505"/>
      <c r="J14" s="548"/>
    </row>
    <row r="15" spans="1:10" ht="54.75" customHeight="1">
      <c r="A15" s="214" t="s">
        <v>12</v>
      </c>
      <c r="B15" s="517" t="s">
        <v>514</v>
      </c>
      <c r="C15" s="177">
        <f aca="true" t="shared" si="2" ref="C15:I15">C16</f>
        <v>1472</v>
      </c>
      <c r="D15" s="177">
        <f t="shared" si="2"/>
        <v>1472</v>
      </c>
      <c r="E15" s="177">
        <f t="shared" si="2"/>
        <v>0</v>
      </c>
      <c r="F15" s="177">
        <f t="shared" si="2"/>
        <v>1472</v>
      </c>
      <c r="G15" s="177">
        <f t="shared" si="2"/>
        <v>0</v>
      </c>
      <c r="H15" s="177">
        <f t="shared" si="2"/>
        <v>0</v>
      </c>
      <c r="I15" s="177">
        <f t="shared" si="2"/>
        <v>0</v>
      </c>
      <c r="J15" s="547" t="s">
        <v>628</v>
      </c>
    </row>
    <row r="16" spans="1:10" ht="63.75" customHeight="1">
      <c r="A16" s="214">
        <v>1</v>
      </c>
      <c r="B16" s="519" t="s">
        <v>516</v>
      </c>
      <c r="C16" s="177">
        <f aca="true" t="shared" si="3" ref="C16:I16">SUM(C17:C17)</f>
        <v>1472</v>
      </c>
      <c r="D16" s="177">
        <f t="shared" si="3"/>
        <v>1472</v>
      </c>
      <c r="E16" s="177">
        <f t="shared" si="3"/>
        <v>0</v>
      </c>
      <c r="F16" s="177">
        <f t="shared" si="3"/>
        <v>1472</v>
      </c>
      <c r="G16" s="177">
        <f t="shared" si="3"/>
        <v>0</v>
      </c>
      <c r="H16" s="177">
        <f t="shared" si="3"/>
        <v>0</v>
      </c>
      <c r="I16" s="177">
        <f t="shared" si="3"/>
        <v>0</v>
      </c>
      <c r="J16" s="547"/>
    </row>
    <row r="17" spans="1:10" ht="50.25" customHeight="1">
      <c r="A17" s="217" t="s">
        <v>511</v>
      </c>
      <c r="B17" s="519" t="s">
        <v>572</v>
      </c>
      <c r="C17" s="505">
        <f>SUM(D17:D17)</f>
        <v>1472</v>
      </c>
      <c r="D17" s="520">
        <f>SUM(E17:F17)</f>
        <v>1472</v>
      </c>
      <c r="E17" s="520"/>
      <c r="F17" s="520">
        <v>1472</v>
      </c>
      <c r="G17" s="505">
        <v>0</v>
      </c>
      <c r="H17" s="505"/>
      <c r="I17" s="505"/>
      <c r="J17" s="549"/>
    </row>
    <row r="18" spans="1:10" ht="54.75" customHeight="1">
      <c r="A18" s="214" t="s">
        <v>12</v>
      </c>
      <c r="B18" s="517" t="s">
        <v>347</v>
      </c>
      <c r="C18" s="177">
        <f>C19</f>
        <v>19945</v>
      </c>
      <c r="D18" s="177">
        <f aca="true" t="shared" si="4" ref="D18:I18">D19</f>
        <v>16945</v>
      </c>
      <c r="E18" s="177">
        <f t="shared" si="4"/>
        <v>16125</v>
      </c>
      <c r="F18" s="177">
        <f t="shared" si="4"/>
        <v>820</v>
      </c>
      <c r="G18" s="177">
        <f t="shared" si="4"/>
        <v>3000</v>
      </c>
      <c r="H18" s="177">
        <f t="shared" si="4"/>
        <v>3000</v>
      </c>
      <c r="I18" s="177">
        <f t="shared" si="4"/>
        <v>0</v>
      </c>
      <c r="J18" s="547"/>
    </row>
    <row r="19" spans="1:10" ht="42.75" customHeight="1">
      <c r="A19" s="217">
        <v>1</v>
      </c>
      <c r="B19" s="521" t="s">
        <v>517</v>
      </c>
      <c r="C19" s="505">
        <f>SUM(C20:C24)</f>
        <v>19945</v>
      </c>
      <c r="D19" s="505">
        <f aca="true" t="shared" si="5" ref="D19:I19">SUM(D20:D24)</f>
        <v>16945</v>
      </c>
      <c r="E19" s="505">
        <f t="shared" si="5"/>
        <v>16125</v>
      </c>
      <c r="F19" s="550">
        <f t="shared" si="5"/>
        <v>820</v>
      </c>
      <c r="G19" s="505">
        <f t="shared" si="5"/>
        <v>3000</v>
      </c>
      <c r="H19" s="505">
        <f t="shared" si="5"/>
        <v>3000</v>
      </c>
      <c r="I19" s="505">
        <f t="shared" si="5"/>
        <v>0</v>
      </c>
      <c r="J19" s="505"/>
    </row>
    <row r="20" spans="1:10" ht="31.5" customHeight="1">
      <c r="A20" s="217" t="s">
        <v>511</v>
      </c>
      <c r="B20" s="542" t="s">
        <v>545</v>
      </c>
      <c r="C20" s="505">
        <f>SUM(D20:D20)</f>
        <v>10043</v>
      </c>
      <c r="D20" s="514">
        <f>SUM(E20:F20)</f>
        <v>10043</v>
      </c>
      <c r="E20" s="514">
        <v>10043</v>
      </c>
      <c r="F20" s="514"/>
      <c r="G20" s="514">
        <f>SUM(H20:I20)</f>
        <v>0</v>
      </c>
      <c r="H20" s="514"/>
      <c r="I20" s="514"/>
      <c r="J20" s="177" t="s">
        <v>628</v>
      </c>
    </row>
    <row r="21" spans="1:10" ht="24" customHeight="1">
      <c r="A21" s="217" t="s">
        <v>511</v>
      </c>
      <c r="B21" s="542" t="s">
        <v>631</v>
      </c>
      <c r="C21" s="505">
        <f>SUM(D21:D21)</f>
        <v>545</v>
      </c>
      <c r="D21" s="514">
        <f>SUM(E21:F21)</f>
        <v>545</v>
      </c>
      <c r="E21" s="514"/>
      <c r="F21" s="514">
        <v>545</v>
      </c>
      <c r="G21" s="514">
        <f>SUM(H21:I21)</f>
        <v>0</v>
      </c>
      <c r="H21" s="514"/>
      <c r="I21" s="514"/>
      <c r="J21" s="177" t="s">
        <v>628</v>
      </c>
    </row>
    <row r="22" spans="1:10" ht="35.25" customHeight="1">
      <c r="A22" s="217" t="s">
        <v>511</v>
      </c>
      <c r="B22" s="511" t="s">
        <v>684</v>
      </c>
      <c r="C22" s="505">
        <f>D22+G22</f>
        <v>6800</v>
      </c>
      <c r="D22" s="514">
        <f>SUM(E22:F22)</f>
        <v>3800</v>
      </c>
      <c r="E22" s="514">
        <v>3800</v>
      </c>
      <c r="F22" s="514"/>
      <c r="G22" s="514">
        <f>SUM(H22:I22)</f>
        <v>3000</v>
      </c>
      <c r="H22" s="514">
        <v>3000</v>
      </c>
      <c r="I22" s="514"/>
      <c r="J22" s="581" t="s">
        <v>639</v>
      </c>
    </row>
    <row r="23" spans="1:10" ht="29.25" customHeight="1">
      <c r="A23" s="217" t="s">
        <v>511</v>
      </c>
      <c r="B23" s="511" t="s">
        <v>640</v>
      </c>
      <c r="C23" s="505">
        <f>SUM(D23:D23)</f>
        <v>1035</v>
      </c>
      <c r="D23" s="514">
        <f>SUM(E23:F23)</f>
        <v>1035</v>
      </c>
      <c r="E23" s="514">
        <v>760</v>
      </c>
      <c r="F23" s="514">
        <v>275</v>
      </c>
      <c r="G23" s="514">
        <f>SUM(H23:I23)</f>
        <v>0</v>
      </c>
      <c r="H23" s="514"/>
      <c r="I23" s="514"/>
      <c r="J23" s="177" t="s">
        <v>628</v>
      </c>
    </row>
    <row r="24" spans="1:10" ht="29.25" customHeight="1">
      <c r="A24" s="217" t="s">
        <v>511</v>
      </c>
      <c r="B24" s="511" t="s">
        <v>632</v>
      </c>
      <c r="C24" s="505">
        <f>SUM(D24:D24)</f>
        <v>1522</v>
      </c>
      <c r="D24" s="514">
        <f>SUM(E24:F24)</f>
        <v>1522</v>
      </c>
      <c r="E24" s="514">
        <f>761*2</f>
        <v>1522</v>
      </c>
      <c r="F24" s="514"/>
      <c r="G24" s="514">
        <f>SUM(H24:I24)</f>
        <v>0</v>
      </c>
      <c r="H24" s="514"/>
      <c r="I24" s="514"/>
      <c r="J24" s="177" t="s">
        <v>628</v>
      </c>
    </row>
    <row r="25" spans="1:10" ht="39.75" customHeight="1">
      <c r="A25" s="214" t="s">
        <v>16</v>
      </c>
      <c r="B25" s="517" t="s">
        <v>354</v>
      </c>
      <c r="C25" s="177">
        <f>C26+C28+C29</f>
        <v>9213</v>
      </c>
      <c r="D25" s="177">
        <f aca="true" t="shared" si="6" ref="D25:I25">D26+D28+D29</f>
        <v>5213</v>
      </c>
      <c r="E25" s="177">
        <f t="shared" si="6"/>
        <v>4479</v>
      </c>
      <c r="F25" s="177">
        <f t="shared" si="6"/>
        <v>734</v>
      </c>
      <c r="G25" s="177">
        <f t="shared" si="6"/>
        <v>4000</v>
      </c>
      <c r="H25" s="177">
        <f t="shared" si="6"/>
        <v>4000</v>
      </c>
      <c r="I25" s="177">
        <f t="shared" si="6"/>
        <v>0</v>
      </c>
      <c r="J25" s="547"/>
    </row>
    <row r="26" spans="1:10" ht="71.25" customHeight="1">
      <c r="A26" s="217">
        <v>1</v>
      </c>
      <c r="B26" s="518" t="s">
        <v>518</v>
      </c>
      <c r="C26" s="505">
        <f aca="true" t="shared" si="7" ref="C26:I26">C27</f>
        <v>8479</v>
      </c>
      <c r="D26" s="505">
        <f t="shared" si="7"/>
        <v>4479</v>
      </c>
      <c r="E26" s="505">
        <f t="shared" si="7"/>
        <v>4479</v>
      </c>
      <c r="F26" s="505">
        <f t="shared" si="7"/>
        <v>0</v>
      </c>
      <c r="G26" s="505">
        <f t="shared" si="7"/>
        <v>4000</v>
      </c>
      <c r="H26" s="505">
        <f t="shared" si="7"/>
        <v>4000</v>
      </c>
      <c r="I26" s="505">
        <f t="shared" si="7"/>
        <v>0</v>
      </c>
      <c r="J26" s="548"/>
    </row>
    <row r="27" spans="1:10" ht="30.75" customHeight="1">
      <c r="A27" s="217" t="s">
        <v>511</v>
      </c>
      <c r="B27" s="513" t="s">
        <v>575</v>
      </c>
      <c r="C27" s="505">
        <f>D27+G27</f>
        <v>8479</v>
      </c>
      <c r="D27" s="514">
        <f aca="true" t="shared" si="8" ref="D27:D37">SUM(E27:F27)</f>
        <v>4479</v>
      </c>
      <c r="E27" s="514">
        <v>4479</v>
      </c>
      <c r="F27" s="514"/>
      <c r="G27" s="546">
        <f aca="true" t="shared" si="9" ref="G27:G34">SUM(H27:I27)</f>
        <v>4000</v>
      </c>
      <c r="H27" s="546">
        <v>4000</v>
      </c>
      <c r="I27" s="546"/>
      <c r="J27" s="582" t="s">
        <v>641</v>
      </c>
    </row>
    <row r="28" spans="1:10" ht="63.75" customHeight="1">
      <c r="A28" s="217">
        <v>2</v>
      </c>
      <c r="B28" s="518" t="s">
        <v>648</v>
      </c>
      <c r="C28" s="505">
        <f>D28+G28</f>
        <v>174</v>
      </c>
      <c r="D28" s="514">
        <f>SUM(E28:F28)</f>
        <v>174</v>
      </c>
      <c r="E28" s="514"/>
      <c r="F28" s="514">
        <v>174</v>
      </c>
      <c r="G28" s="546"/>
      <c r="H28" s="546"/>
      <c r="I28" s="546"/>
      <c r="J28" s="177" t="s">
        <v>628</v>
      </c>
    </row>
    <row r="29" spans="1:10" ht="50.25" customHeight="1">
      <c r="A29" s="217">
        <v>3</v>
      </c>
      <c r="B29" s="518" t="s">
        <v>520</v>
      </c>
      <c r="C29" s="505">
        <f>D29+G29</f>
        <v>560</v>
      </c>
      <c r="D29" s="514">
        <f>SUM(E29:F29)</f>
        <v>560</v>
      </c>
      <c r="E29" s="514"/>
      <c r="F29" s="514">
        <v>560</v>
      </c>
      <c r="G29" s="546"/>
      <c r="H29" s="546"/>
      <c r="I29" s="546"/>
      <c r="J29" s="177" t="s">
        <v>628</v>
      </c>
    </row>
    <row r="30" spans="1:10" ht="45" customHeight="1">
      <c r="A30" s="214" t="s">
        <v>19</v>
      </c>
      <c r="B30" s="517" t="s">
        <v>522</v>
      </c>
      <c r="C30" s="177">
        <f aca="true" t="shared" si="10" ref="C30:C36">D30+G30</f>
        <v>131</v>
      </c>
      <c r="D30" s="523">
        <f t="shared" si="8"/>
        <v>131</v>
      </c>
      <c r="E30" s="523"/>
      <c r="F30" s="523">
        <v>131</v>
      </c>
      <c r="G30" s="546">
        <f t="shared" si="9"/>
        <v>0</v>
      </c>
      <c r="H30" s="523"/>
      <c r="I30" s="523"/>
      <c r="J30" s="177" t="s">
        <v>628</v>
      </c>
    </row>
    <row r="31" spans="1:10" ht="55.5" customHeight="1">
      <c r="A31" s="214" t="s">
        <v>35</v>
      </c>
      <c r="B31" s="517" t="s">
        <v>523</v>
      </c>
      <c r="C31" s="177">
        <f t="shared" si="10"/>
        <v>283</v>
      </c>
      <c r="D31" s="523">
        <f t="shared" si="8"/>
        <v>283</v>
      </c>
      <c r="E31" s="523"/>
      <c r="F31" s="523">
        <v>283</v>
      </c>
      <c r="G31" s="546">
        <f t="shared" si="9"/>
        <v>0</v>
      </c>
      <c r="H31" s="523"/>
      <c r="I31" s="523"/>
      <c r="J31" s="177" t="s">
        <v>628</v>
      </c>
    </row>
    <row r="32" spans="1:10" ht="42.75" customHeight="1">
      <c r="A32" s="214" t="s">
        <v>36</v>
      </c>
      <c r="B32" s="517" t="s">
        <v>525</v>
      </c>
      <c r="C32" s="177">
        <f t="shared" si="10"/>
        <v>541</v>
      </c>
      <c r="D32" s="523">
        <f t="shared" si="8"/>
        <v>541</v>
      </c>
      <c r="E32" s="523"/>
      <c r="F32" s="523">
        <v>541</v>
      </c>
      <c r="G32" s="546">
        <f t="shared" si="9"/>
        <v>0</v>
      </c>
      <c r="H32" s="523"/>
      <c r="I32" s="523"/>
      <c r="J32" s="177" t="s">
        <v>628</v>
      </c>
    </row>
    <row r="33" spans="1:10" ht="48.75" customHeight="1">
      <c r="A33" s="214" t="s">
        <v>524</v>
      </c>
      <c r="B33" s="508" t="s">
        <v>527</v>
      </c>
      <c r="C33" s="177">
        <f t="shared" si="10"/>
        <v>92</v>
      </c>
      <c r="D33" s="523">
        <f t="shared" si="8"/>
        <v>92</v>
      </c>
      <c r="E33" s="177"/>
      <c r="F33" s="553">
        <f>F34</f>
        <v>92</v>
      </c>
      <c r="G33" s="546">
        <f t="shared" si="9"/>
        <v>0</v>
      </c>
      <c r="H33" s="177"/>
      <c r="I33" s="177"/>
      <c r="J33" s="177" t="s">
        <v>628</v>
      </c>
    </row>
    <row r="34" spans="1:10" ht="37.5" customHeight="1">
      <c r="A34" s="510">
        <v>1</v>
      </c>
      <c r="B34" s="511" t="s">
        <v>528</v>
      </c>
      <c r="C34" s="505">
        <f t="shared" si="10"/>
        <v>92</v>
      </c>
      <c r="D34" s="514">
        <f t="shared" si="8"/>
        <v>92</v>
      </c>
      <c r="E34" s="520"/>
      <c r="F34" s="520">
        <v>92</v>
      </c>
      <c r="G34" s="546">
        <f t="shared" si="9"/>
        <v>0</v>
      </c>
      <c r="H34" s="520"/>
      <c r="I34" s="520"/>
      <c r="J34" s="552"/>
    </row>
    <row r="35" spans="1:10" ht="54" customHeight="1">
      <c r="A35" s="502" t="s">
        <v>526</v>
      </c>
      <c r="B35" s="508" t="s">
        <v>552</v>
      </c>
      <c r="C35" s="177">
        <f t="shared" si="10"/>
        <v>87</v>
      </c>
      <c r="D35" s="523">
        <f t="shared" si="8"/>
        <v>87</v>
      </c>
      <c r="E35" s="177">
        <f>SUM(E36:E37)</f>
        <v>0</v>
      </c>
      <c r="F35" s="177">
        <f>SUM(F36:F37)</f>
        <v>87</v>
      </c>
      <c r="G35" s="177">
        <f>SUM(G36:G37)</f>
        <v>0</v>
      </c>
      <c r="H35" s="177">
        <f>SUM(H36:H37)</f>
        <v>0</v>
      </c>
      <c r="I35" s="177">
        <f>SUM(I36:I37)</f>
        <v>0</v>
      </c>
      <c r="J35" s="177" t="s">
        <v>628</v>
      </c>
    </row>
    <row r="36" spans="1:10" ht="54" customHeight="1">
      <c r="A36" s="510">
        <v>1</v>
      </c>
      <c r="B36" s="522" t="s">
        <v>529</v>
      </c>
      <c r="C36" s="505">
        <f t="shared" si="10"/>
        <v>55</v>
      </c>
      <c r="D36" s="514">
        <f t="shared" si="8"/>
        <v>55</v>
      </c>
      <c r="E36" s="505"/>
      <c r="F36" s="505">
        <v>55</v>
      </c>
      <c r="G36" s="546">
        <f>SUM(H36:I36)</f>
        <v>0</v>
      </c>
      <c r="H36" s="505"/>
      <c r="I36" s="505"/>
      <c r="J36" s="552"/>
    </row>
    <row r="37" spans="1:10" ht="34.5" customHeight="1">
      <c r="A37" s="510">
        <v>2</v>
      </c>
      <c r="B37" s="519" t="s">
        <v>531</v>
      </c>
      <c r="C37" s="505">
        <f>SUM(D37:D37)</f>
        <v>32</v>
      </c>
      <c r="D37" s="514">
        <f t="shared" si="8"/>
        <v>32</v>
      </c>
      <c r="E37" s="520"/>
      <c r="F37" s="520">
        <v>32</v>
      </c>
      <c r="G37" s="546">
        <f>SUM(H37:I37)</f>
        <v>0</v>
      </c>
      <c r="H37" s="520"/>
      <c r="I37" s="520"/>
      <c r="J37" s="552"/>
    </row>
    <row r="38" ht="22.5" customHeight="1"/>
    <row r="39" spans="1:10" ht="22.5" customHeight="1">
      <c r="A39" s="759" t="s">
        <v>693</v>
      </c>
      <c r="B39" s="766"/>
      <c r="C39" s="766"/>
      <c r="D39" s="766"/>
      <c r="E39" s="766"/>
      <c r="F39" s="766"/>
      <c r="G39" s="766"/>
      <c r="H39" s="766"/>
      <c r="I39" s="766"/>
      <c r="J39" s="766"/>
    </row>
  </sheetData>
  <sheetProtection/>
  <mergeCells count="12">
    <mergeCell ref="A4:A7"/>
    <mergeCell ref="B4:B7"/>
    <mergeCell ref="C4:I4"/>
    <mergeCell ref="J4:J7"/>
    <mergeCell ref="A39:J39"/>
    <mergeCell ref="A1:J1"/>
    <mergeCell ref="B3:J3"/>
    <mergeCell ref="C5:C7"/>
    <mergeCell ref="D5:I5"/>
    <mergeCell ref="D6:F6"/>
    <mergeCell ref="G6:I6"/>
    <mergeCell ref="A2:J2"/>
  </mergeCells>
  <printOptions/>
  <pageMargins left="0.49" right="0.29" top="0.44" bottom="0.53" header="0.31496062992125984" footer="0.31496062992125984"/>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2:F19"/>
  <sheetViews>
    <sheetView zoomScale="82" zoomScaleNormal="82" zoomScalePageLayoutView="0" workbookViewId="0" topLeftCell="A7">
      <selection activeCell="D4" sqref="D4"/>
    </sheetView>
  </sheetViews>
  <sheetFormatPr defaultColWidth="9.00390625" defaultRowHeight="15.75"/>
  <cols>
    <col min="1" max="1" width="5.75390625" style="0" customWidth="1"/>
    <col min="2" max="2" width="42.75390625" style="0" customWidth="1"/>
    <col min="3" max="3" width="12.25390625" style="0" customWidth="1"/>
    <col min="4" max="4" width="11.875" style="0" customWidth="1"/>
    <col min="5" max="5" width="18.375" style="0" customWidth="1"/>
    <col min="6" max="6" width="37.375" style="0" customWidth="1"/>
  </cols>
  <sheetData>
    <row r="1" s="3" customFormat="1" ht="15"/>
    <row r="2" spans="1:6" s="3" customFormat="1" ht="88.5" customHeight="1">
      <c r="A2" s="857" t="s">
        <v>649</v>
      </c>
      <c r="B2" s="857"/>
      <c r="C2" s="857"/>
      <c r="D2" s="857"/>
      <c r="E2" s="857"/>
      <c r="F2" s="857"/>
    </row>
    <row r="3" spans="1:6" s="3" customFormat="1" ht="29.25" customHeight="1">
      <c r="A3" s="857" t="s">
        <v>679</v>
      </c>
      <c r="B3" s="857"/>
      <c r="C3" s="857"/>
      <c r="D3" s="857"/>
      <c r="E3" s="857"/>
      <c r="F3" s="857"/>
    </row>
    <row r="4" spans="1:6" s="3" customFormat="1" ht="18">
      <c r="A4" s="506"/>
      <c r="B4" s="507"/>
      <c r="C4" s="507"/>
      <c r="D4" s="507"/>
      <c r="E4" s="883" t="s">
        <v>532</v>
      </c>
      <c r="F4" s="883"/>
    </row>
    <row r="5" spans="1:6" s="3" customFormat="1" ht="59.25" customHeight="1">
      <c r="A5" s="537" t="s">
        <v>549</v>
      </c>
      <c r="B5" s="436" t="s">
        <v>657</v>
      </c>
      <c r="C5" s="436" t="s">
        <v>655</v>
      </c>
      <c r="D5" s="436" t="s">
        <v>214</v>
      </c>
      <c r="E5" s="436" t="s">
        <v>658</v>
      </c>
      <c r="F5" s="592" t="s">
        <v>656</v>
      </c>
    </row>
    <row r="6" spans="1:6" s="3" customFormat="1" ht="27" customHeight="1">
      <c r="A6" s="537"/>
      <c r="B6" s="537" t="s">
        <v>544</v>
      </c>
      <c r="C6" s="537"/>
      <c r="D6" s="537"/>
      <c r="E6" s="605">
        <f>E7</f>
        <v>10789</v>
      </c>
      <c r="F6" s="592"/>
    </row>
    <row r="7" spans="1:6" s="3" customFormat="1" ht="69" customHeight="1">
      <c r="A7" s="537" t="s">
        <v>13</v>
      </c>
      <c r="B7" s="538" t="s">
        <v>558</v>
      </c>
      <c r="C7" s="436" t="s">
        <v>680</v>
      </c>
      <c r="D7" s="606">
        <v>25331.1</v>
      </c>
      <c r="E7" s="605">
        <f>E8+E12</f>
        <v>10789</v>
      </c>
      <c r="F7" s="592"/>
    </row>
    <row r="8" spans="1:6" s="3" customFormat="1" ht="17.25">
      <c r="A8" s="598">
        <v>1</v>
      </c>
      <c r="B8" s="599" t="s">
        <v>559</v>
      </c>
      <c r="C8" s="436" t="s">
        <v>680</v>
      </c>
      <c r="D8" s="606">
        <v>16226</v>
      </c>
      <c r="E8" s="600">
        <f>SUM(E9:E11)</f>
        <v>6801</v>
      </c>
      <c r="F8" s="598"/>
    </row>
    <row r="9" spans="1:6" s="3" customFormat="1" ht="22.5" customHeight="1">
      <c r="A9" s="572"/>
      <c r="B9" s="572"/>
      <c r="C9" s="573" t="s">
        <v>680</v>
      </c>
      <c r="D9" s="571">
        <v>7224.8</v>
      </c>
      <c r="E9" s="601">
        <v>2961</v>
      </c>
      <c r="F9" s="572" t="s">
        <v>681</v>
      </c>
    </row>
    <row r="10" spans="1:6" s="3" customFormat="1" ht="36">
      <c r="A10" s="572"/>
      <c r="B10" s="572"/>
      <c r="C10" s="573" t="s">
        <v>680</v>
      </c>
      <c r="D10" s="571">
        <v>5563.4</v>
      </c>
      <c r="E10" s="601">
        <v>2334</v>
      </c>
      <c r="F10" s="572" t="s">
        <v>688</v>
      </c>
    </row>
    <row r="11" spans="1:6" s="3" customFormat="1" ht="26.25" customHeight="1">
      <c r="A11" s="572"/>
      <c r="B11" s="572"/>
      <c r="C11" s="573" t="s">
        <v>680</v>
      </c>
      <c r="D11" s="571">
        <v>3437.8</v>
      </c>
      <c r="E11" s="601">
        <v>1506</v>
      </c>
      <c r="F11" s="572" t="s">
        <v>682</v>
      </c>
    </row>
    <row r="12" spans="1:6" s="3" customFormat="1" ht="18">
      <c r="A12" s="598">
        <v>2</v>
      </c>
      <c r="B12" s="599" t="s">
        <v>560</v>
      </c>
      <c r="C12" s="436" t="s">
        <v>680</v>
      </c>
      <c r="D12" s="606">
        <v>9105.1</v>
      </c>
      <c r="E12" s="600">
        <v>3988</v>
      </c>
      <c r="F12" s="607"/>
    </row>
    <row r="13" spans="1:6" s="3" customFormat="1" ht="18">
      <c r="A13" s="572"/>
      <c r="B13" s="572"/>
      <c r="C13" s="573" t="s">
        <v>680</v>
      </c>
      <c r="D13" s="571">
        <v>7494.4</v>
      </c>
      <c r="E13" s="601">
        <v>3283</v>
      </c>
      <c r="F13" s="572" t="s">
        <v>689</v>
      </c>
    </row>
    <row r="14" spans="1:6" s="3" customFormat="1" ht="18">
      <c r="A14" s="572"/>
      <c r="B14" s="572"/>
      <c r="C14" s="573" t="s">
        <v>680</v>
      </c>
      <c r="D14" s="571">
        <v>1064.2</v>
      </c>
      <c r="E14" s="601">
        <v>466</v>
      </c>
      <c r="F14" s="572" t="s">
        <v>690</v>
      </c>
    </row>
    <row r="15" spans="1:6" s="3" customFormat="1" ht="18">
      <c r="A15" s="572"/>
      <c r="B15" s="574"/>
      <c r="C15" s="573" t="s">
        <v>680</v>
      </c>
      <c r="D15" s="571">
        <v>546.5</v>
      </c>
      <c r="E15" s="601">
        <v>239</v>
      </c>
      <c r="F15" s="572" t="s">
        <v>691</v>
      </c>
    </row>
    <row r="16" spans="1:6" s="3" customFormat="1" ht="18">
      <c r="A16" s="115"/>
      <c r="B16" s="115"/>
      <c r="C16" s="115"/>
      <c r="D16" s="115"/>
      <c r="E16" s="115"/>
      <c r="F16" s="115"/>
    </row>
    <row r="17" spans="1:6" s="3" customFormat="1" ht="18">
      <c r="A17" s="884" t="s">
        <v>683</v>
      </c>
      <c r="B17" s="884"/>
      <c r="C17" s="884"/>
      <c r="D17" s="884"/>
      <c r="E17" s="884"/>
      <c r="F17" s="884"/>
    </row>
    <row r="18" spans="1:6" s="3" customFormat="1" ht="18">
      <c r="A18" s="115"/>
      <c r="B18" s="115"/>
      <c r="C18" s="115"/>
      <c r="D18" s="115"/>
      <c r="E18" s="115"/>
      <c r="F18" s="115"/>
    </row>
    <row r="19" spans="1:6" ht="18">
      <c r="A19" s="86"/>
      <c r="B19" s="604"/>
      <c r="C19" s="86"/>
      <c r="D19" s="86"/>
      <c r="E19" s="86"/>
      <c r="F19" s="86"/>
    </row>
  </sheetData>
  <sheetProtection/>
  <mergeCells count="4">
    <mergeCell ref="A2:F2"/>
    <mergeCell ref="A3:F3"/>
    <mergeCell ref="E4:F4"/>
    <mergeCell ref="A17:F17"/>
  </mergeCells>
  <printOptions/>
  <pageMargins left="0.56" right="0.38" top="0.37" bottom="0.52" header="0.24" footer="0.31496062992125984"/>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J43"/>
  <sheetViews>
    <sheetView zoomScalePageLayoutView="0" workbookViewId="0" topLeftCell="A40">
      <selection activeCell="E47" sqref="E47"/>
    </sheetView>
  </sheetViews>
  <sheetFormatPr defaultColWidth="9.00390625" defaultRowHeight="15.75"/>
  <cols>
    <col min="1" max="1" width="6.125" style="3" customWidth="1"/>
    <col min="2" max="2" width="48.50390625" style="3" customWidth="1"/>
    <col min="3" max="3" width="11.50390625" style="3" customWidth="1"/>
    <col min="4" max="4" width="10.125" style="3" customWidth="1"/>
    <col min="5" max="5" width="8.875" style="3" customWidth="1"/>
    <col min="6" max="6" width="14.375" style="3" customWidth="1"/>
    <col min="7" max="7" width="26.75390625" style="3" customWidth="1"/>
  </cols>
  <sheetData>
    <row r="1" spans="1:7" ht="116.25" customHeight="1">
      <c r="A1" s="857" t="s">
        <v>649</v>
      </c>
      <c r="B1" s="857"/>
      <c r="C1" s="857"/>
      <c r="D1" s="857"/>
      <c r="E1" s="857"/>
      <c r="F1" s="857"/>
      <c r="G1" s="857"/>
    </row>
    <row r="2" spans="1:7" ht="17.25">
      <c r="A2" s="857" t="s">
        <v>676</v>
      </c>
      <c r="B2" s="857"/>
      <c r="C2" s="857"/>
      <c r="D2" s="857"/>
      <c r="E2" s="857"/>
      <c r="F2" s="857"/>
      <c r="G2" s="857"/>
    </row>
    <row r="3" spans="1:7" ht="33.75" customHeight="1">
      <c r="A3" s="506"/>
      <c r="B3" s="507"/>
      <c r="C3" s="507"/>
      <c r="D3" s="507"/>
      <c r="E3" s="507"/>
      <c r="F3" s="883" t="s">
        <v>532</v>
      </c>
      <c r="G3" s="883"/>
    </row>
    <row r="4" spans="1:7" ht="60.75" customHeight="1">
      <c r="A4" s="576" t="s">
        <v>549</v>
      </c>
      <c r="B4" s="577" t="s">
        <v>657</v>
      </c>
      <c r="C4" s="588" t="s">
        <v>654</v>
      </c>
      <c r="D4" s="588" t="s">
        <v>655</v>
      </c>
      <c r="E4" s="588" t="s">
        <v>214</v>
      </c>
      <c r="F4" s="588" t="s">
        <v>658</v>
      </c>
      <c r="G4" s="177" t="s">
        <v>656</v>
      </c>
    </row>
    <row r="5" spans="1:7" ht="19.5" customHeight="1">
      <c r="A5" s="214"/>
      <c r="B5" s="214" t="s">
        <v>544</v>
      </c>
      <c r="C5" s="214"/>
      <c r="D5" s="214"/>
      <c r="E5" s="214"/>
      <c r="F5" s="214">
        <f>F6+F12+F17+F22+F27+F32+F37</f>
        <v>14089</v>
      </c>
      <c r="G5" s="177"/>
    </row>
    <row r="6" spans="1:7" s="1" customFormat="1" ht="23.25" customHeight="1">
      <c r="A6" s="214" t="s">
        <v>13</v>
      </c>
      <c r="B6" s="177" t="s">
        <v>589</v>
      </c>
      <c r="C6" s="214"/>
      <c r="D6" s="214"/>
      <c r="E6" s="214"/>
      <c r="F6" s="214">
        <f>F7</f>
        <v>1080</v>
      </c>
      <c r="G6" s="177"/>
    </row>
    <row r="7" spans="1:7" ht="36" customHeight="1">
      <c r="A7" s="214">
        <v>1</v>
      </c>
      <c r="B7" s="517" t="s">
        <v>354</v>
      </c>
      <c r="C7" s="517"/>
      <c r="D7" s="517"/>
      <c r="E7" s="517"/>
      <c r="F7" s="517">
        <f>F8</f>
        <v>1080</v>
      </c>
      <c r="G7" s="509"/>
    </row>
    <row r="8" spans="1:7" ht="39" customHeight="1">
      <c r="A8" s="217">
        <v>1.1</v>
      </c>
      <c r="B8" s="518" t="s">
        <v>520</v>
      </c>
      <c r="C8" s="518"/>
      <c r="D8" s="518"/>
      <c r="E8" s="518"/>
      <c r="F8" s="518">
        <f>F9+F10+F11</f>
        <v>1080</v>
      </c>
      <c r="G8" s="528"/>
    </row>
    <row r="9" spans="1:7" ht="60.75" customHeight="1">
      <c r="A9" s="217" t="s">
        <v>511</v>
      </c>
      <c r="B9" s="608" t="s">
        <v>686</v>
      </c>
      <c r="C9" s="609" t="s">
        <v>662</v>
      </c>
      <c r="D9" s="609" t="s">
        <v>663</v>
      </c>
      <c r="E9" s="609">
        <v>2</v>
      </c>
      <c r="F9" s="609">
        <v>180</v>
      </c>
      <c r="G9" s="505" t="s">
        <v>589</v>
      </c>
    </row>
    <row r="10" spans="1:7" ht="48" customHeight="1">
      <c r="A10" s="217" t="s">
        <v>511</v>
      </c>
      <c r="B10" s="610" t="s">
        <v>664</v>
      </c>
      <c r="C10" s="609" t="s">
        <v>665</v>
      </c>
      <c r="D10" s="609" t="s">
        <v>666</v>
      </c>
      <c r="E10" s="609">
        <v>20</v>
      </c>
      <c r="F10" s="609">
        <v>600</v>
      </c>
      <c r="G10" s="611" t="s">
        <v>667</v>
      </c>
    </row>
    <row r="11" spans="1:7" ht="36" customHeight="1">
      <c r="A11" s="217" t="s">
        <v>511</v>
      </c>
      <c r="B11" s="612" t="s">
        <v>668</v>
      </c>
      <c r="C11" s="609" t="s">
        <v>669</v>
      </c>
      <c r="D11" s="609" t="s">
        <v>661</v>
      </c>
      <c r="E11" s="609">
        <v>50</v>
      </c>
      <c r="F11" s="609">
        <v>300</v>
      </c>
      <c r="G11" s="505" t="s">
        <v>589</v>
      </c>
    </row>
    <row r="12" spans="1:7" ht="15">
      <c r="A12" s="214" t="s">
        <v>15</v>
      </c>
      <c r="B12" s="177" t="s">
        <v>287</v>
      </c>
      <c r="C12" s="242"/>
      <c r="D12" s="242"/>
      <c r="E12" s="242"/>
      <c r="F12" s="235">
        <f>F15+F16</f>
        <v>629</v>
      </c>
      <c r="G12" s="242"/>
    </row>
    <row r="13" spans="1:7" ht="43.5" customHeight="1">
      <c r="A13" s="214">
        <v>1</v>
      </c>
      <c r="B13" s="517" t="s">
        <v>354</v>
      </c>
      <c r="C13" s="242"/>
      <c r="D13" s="242"/>
      <c r="E13" s="242"/>
      <c r="F13" s="242"/>
      <c r="G13" s="298" t="s">
        <v>565</v>
      </c>
    </row>
    <row r="14" spans="1:7" ht="42" customHeight="1">
      <c r="A14" s="217" t="s">
        <v>511</v>
      </c>
      <c r="B14" s="518" t="s">
        <v>520</v>
      </c>
      <c r="C14" s="242"/>
      <c r="D14" s="242"/>
      <c r="E14" s="242"/>
      <c r="F14" s="242"/>
      <c r="G14" s="242"/>
    </row>
    <row r="15" spans="1:7" ht="54" customHeight="1">
      <c r="A15" s="513" t="s">
        <v>671</v>
      </c>
      <c r="B15" s="608" t="s">
        <v>686</v>
      </c>
      <c r="C15" s="613" t="s">
        <v>659</v>
      </c>
      <c r="D15" s="609" t="s">
        <v>660</v>
      </c>
      <c r="E15" s="613">
        <v>17</v>
      </c>
      <c r="F15" s="609">
        <v>85</v>
      </c>
      <c r="G15" s="242"/>
    </row>
    <row r="16" spans="1:7" ht="27.75">
      <c r="A16" s="513" t="s">
        <v>671</v>
      </c>
      <c r="B16" s="612" t="s">
        <v>672</v>
      </c>
      <c r="C16" s="609"/>
      <c r="D16" s="609" t="s">
        <v>661</v>
      </c>
      <c r="E16" s="614">
        <v>6900</v>
      </c>
      <c r="F16" s="609">
        <v>544</v>
      </c>
      <c r="G16" s="242"/>
    </row>
    <row r="17" spans="1:7" ht="15">
      <c r="A17" s="214" t="s">
        <v>12</v>
      </c>
      <c r="B17" s="177" t="s">
        <v>288</v>
      </c>
      <c r="C17" s="242"/>
      <c r="D17" s="242"/>
      <c r="E17" s="242"/>
      <c r="F17" s="235">
        <f>F20+F21</f>
        <v>685</v>
      </c>
      <c r="G17" s="242"/>
    </row>
    <row r="18" spans="1:7" ht="30">
      <c r="A18" s="214">
        <v>1</v>
      </c>
      <c r="B18" s="517" t="s">
        <v>354</v>
      </c>
      <c r="C18" s="242"/>
      <c r="D18" s="242"/>
      <c r="E18" s="242"/>
      <c r="F18" s="242"/>
      <c r="G18" s="298" t="s">
        <v>573</v>
      </c>
    </row>
    <row r="19" spans="1:7" ht="40.5" customHeight="1">
      <c r="A19" s="217" t="s">
        <v>511</v>
      </c>
      <c r="B19" s="518" t="s">
        <v>520</v>
      </c>
      <c r="C19" s="242"/>
      <c r="D19" s="242"/>
      <c r="E19" s="242"/>
      <c r="F19" s="242"/>
      <c r="G19" s="242"/>
    </row>
    <row r="20" spans="1:7" ht="51" customHeight="1">
      <c r="A20" s="513" t="s">
        <v>671</v>
      </c>
      <c r="B20" s="608" t="s">
        <v>686</v>
      </c>
      <c r="C20" s="613" t="s">
        <v>659</v>
      </c>
      <c r="D20" s="609" t="s">
        <v>660</v>
      </c>
      <c r="E20" s="613">
        <v>27</v>
      </c>
      <c r="F20" s="609">
        <v>135</v>
      </c>
      <c r="G20" s="242"/>
    </row>
    <row r="21" spans="1:7" ht="27.75">
      <c r="A21" s="513" t="s">
        <v>671</v>
      </c>
      <c r="B21" s="612" t="s">
        <v>672</v>
      </c>
      <c r="C21" s="609"/>
      <c r="D21" s="609" t="s">
        <v>661</v>
      </c>
      <c r="E21" s="614">
        <v>7160</v>
      </c>
      <c r="F21" s="609">
        <v>550</v>
      </c>
      <c r="G21" s="242"/>
    </row>
    <row r="22" spans="1:7" ht="15">
      <c r="A22" s="214" t="s">
        <v>16</v>
      </c>
      <c r="B22" s="177" t="s">
        <v>289</v>
      </c>
      <c r="C22" s="242"/>
      <c r="D22" s="242"/>
      <c r="E22" s="242"/>
      <c r="F22" s="235">
        <f>F25+F26</f>
        <v>560</v>
      </c>
      <c r="G22" s="242"/>
    </row>
    <row r="23" spans="1:7" ht="30">
      <c r="A23" s="214">
        <v>1</v>
      </c>
      <c r="B23" s="517" t="s">
        <v>354</v>
      </c>
      <c r="C23" s="242"/>
      <c r="D23" s="242"/>
      <c r="E23" s="242"/>
      <c r="F23" s="242"/>
      <c r="G23" s="298" t="s">
        <v>574</v>
      </c>
    </row>
    <row r="24" spans="1:7" ht="46.5">
      <c r="A24" s="217" t="s">
        <v>511</v>
      </c>
      <c r="B24" s="518" t="s">
        <v>520</v>
      </c>
      <c r="C24" s="242"/>
      <c r="D24" s="242"/>
      <c r="E24" s="242"/>
      <c r="F24" s="242"/>
      <c r="G24" s="242"/>
    </row>
    <row r="25" spans="1:7" ht="48.75" customHeight="1">
      <c r="A25" s="513" t="s">
        <v>671</v>
      </c>
      <c r="B25" s="608" t="s">
        <v>670</v>
      </c>
      <c r="C25" s="613" t="s">
        <v>659</v>
      </c>
      <c r="D25" s="609" t="s">
        <v>660</v>
      </c>
      <c r="E25" s="613">
        <v>12</v>
      </c>
      <c r="F25" s="609">
        <v>60</v>
      </c>
      <c r="G25" s="242"/>
    </row>
    <row r="26" spans="1:7" ht="27.75">
      <c r="A26" s="513" t="s">
        <v>671</v>
      </c>
      <c r="B26" s="612" t="s">
        <v>672</v>
      </c>
      <c r="C26" s="609"/>
      <c r="D26" s="609" t="s">
        <v>661</v>
      </c>
      <c r="E26" s="614">
        <v>7040</v>
      </c>
      <c r="F26" s="609">
        <v>500</v>
      </c>
      <c r="G26" s="242"/>
    </row>
    <row r="27" spans="1:7" ht="15">
      <c r="A27" s="214" t="s">
        <v>19</v>
      </c>
      <c r="B27" s="177" t="s">
        <v>290</v>
      </c>
      <c r="C27" s="242"/>
      <c r="D27" s="242"/>
      <c r="E27" s="242"/>
      <c r="F27" s="235">
        <f>F30+F31</f>
        <v>620</v>
      </c>
      <c r="G27" s="242"/>
    </row>
    <row r="28" spans="1:7" ht="30">
      <c r="A28" s="214">
        <v>1</v>
      </c>
      <c r="B28" s="517" t="s">
        <v>354</v>
      </c>
      <c r="C28" s="242"/>
      <c r="D28" s="242"/>
      <c r="E28" s="242"/>
      <c r="F28" s="242"/>
      <c r="G28" s="298" t="s">
        <v>577</v>
      </c>
    </row>
    <row r="29" spans="1:7" ht="36.75" customHeight="1">
      <c r="A29" s="217" t="s">
        <v>511</v>
      </c>
      <c r="B29" s="518" t="s">
        <v>520</v>
      </c>
      <c r="C29" s="242"/>
      <c r="D29" s="242"/>
      <c r="E29" s="242"/>
      <c r="F29" s="242"/>
      <c r="G29" s="242"/>
    </row>
    <row r="30" spans="1:7" ht="61.5" customHeight="1">
      <c r="A30" s="513" t="s">
        <v>671</v>
      </c>
      <c r="B30" s="608" t="s">
        <v>686</v>
      </c>
      <c r="C30" s="613" t="s">
        <v>659</v>
      </c>
      <c r="D30" s="609" t="s">
        <v>660</v>
      </c>
      <c r="E30" s="613">
        <v>14</v>
      </c>
      <c r="F30" s="609">
        <v>70</v>
      </c>
      <c r="G30" s="242"/>
    </row>
    <row r="31" spans="1:7" ht="27.75">
      <c r="A31" s="513" t="s">
        <v>671</v>
      </c>
      <c r="B31" s="612" t="s">
        <v>672</v>
      </c>
      <c r="C31" s="609"/>
      <c r="D31" s="609" t="s">
        <v>661</v>
      </c>
      <c r="E31" s="614">
        <v>7200</v>
      </c>
      <c r="F31" s="609">
        <v>550</v>
      </c>
      <c r="G31" s="242"/>
    </row>
    <row r="32" spans="1:7" ht="15">
      <c r="A32" s="214" t="s">
        <v>35</v>
      </c>
      <c r="B32" s="177" t="s">
        <v>295</v>
      </c>
      <c r="C32" s="242"/>
      <c r="D32" s="242"/>
      <c r="E32" s="242"/>
      <c r="F32" s="235">
        <f>F35+F36</f>
        <v>515</v>
      </c>
      <c r="G32" s="242"/>
    </row>
    <row r="33" spans="1:7" ht="30">
      <c r="A33" s="214">
        <v>1</v>
      </c>
      <c r="B33" s="517" t="s">
        <v>354</v>
      </c>
      <c r="C33" s="242"/>
      <c r="D33" s="242"/>
      <c r="E33" s="242"/>
      <c r="F33" s="242"/>
      <c r="G33" s="298" t="s">
        <v>579</v>
      </c>
    </row>
    <row r="34" spans="1:7" ht="36" customHeight="1">
      <c r="A34" s="217" t="s">
        <v>511</v>
      </c>
      <c r="B34" s="518" t="s">
        <v>520</v>
      </c>
      <c r="C34" s="242"/>
      <c r="D34" s="242"/>
      <c r="E34" s="242"/>
      <c r="F34" s="242"/>
      <c r="G34" s="242"/>
    </row>
    <row r="35" spans="1:7" ht="63.75" customHeight="1">
      <c r="A35" s="513" t="s">
        <v>671</v>
      </c>
      <c r="B35" s="608" t="s">
        <v>686</v>
      </c>
      <c r="C35" s="613" t="s">
        <v>659</v>
      </c>
      <c r="D35" s="609" t="s">
        <v>660</v>
      </c>
      <c r="E35" s="613">
        <v>3</v>
      </c>
      <c r="F35" s="609">
        <v>15</v>
      </c>
      <c r="G35" s="242"/>
    </row>
    <row r="36" spans="1:7" ht="27.75">
      <c r="A36" s="513" t="s">
        <v>671</v>
      </c>
      <c r="B36" s="612" t="s">
        <v>672</v>
      </c>
      <c r="C36" s="609"/>
      <c r="D36" s="609" t="s">
        <v>661</v>
      </c>
      <c r="E36" s="614">
        <v>6500</v>
      </c>
      <c r="F36" s="609">
        <v>500</v>
      </c>
      <c r="G36" s="242"/>
    </row>
    <row r="37" spans="1:7" ht="30">
      <c r="A37" s="214" t="s">
        <v>36</v>
      </c>
      <c r="B37" s="177" t="s">
        <v>673</v>
      </c>
      <c r="C37" s="242"/>
      <c r="D37" s="242"/>
      <c r="E37" s="242"/>
      <c r="F37" s="235">
        <f>F40+F41</f>
        <v>10000</v>
      </c>
      <c r="G37" s="242"/>
    </row>
    <row r="38" spans="1:7" ht="30">
      <c r="A38" s="214">
        <v>1</v>
      </c>
      <c r="B38" s="517" t="s">
        <v>354</v>
      </c>
      <c r="C38" s="242"/>
      <c r="D38" s="242"/>
      <c r="E38" s="242"/>
      <c r="F38" s="242"/>
      <c r="G38" s="298"/>
    </row>
    <row r="39" spans="1:7" ht="33" customHeight="1">
      <c r="A39" s="217" t="s">
        <v>511</v>
      </c>
      <c r="B39" s="518" t="s">
        <v>520</v>
      </c>
      <c r="C39" s="242"/>
      <c r="D39" s="242"/>
      <c r="E39" s="242"/>
      <c r="F39" s="242"/>
      <c r="G39" s="242"/>
    </row>
    <row r="40" spans="1:7" ht="43.5" customHeight="1">
      <c r="A40" s="513" t="s">
        <v>671</v>
      </c>
      <c r="B40" s="608" t="s">
        <v>674</v>
      </c>
      <c r="C40" s="613"/>
      <c r="D40" s="609" t="s">
        <v>675</v>
      </c>
      <c r="E40" s="613">
        <v>1</v>
      </c>
      <c r="F40" s="609">
        <v>10000</v>
      </c>
      <c r="G40" s="505" t="s">
        <v>673</v>
      </c>
    </row>
    <row r="43" spans="1:10" ht="30.75" customHeight="1">
      <c r="A43" s="828" t="s">
        <v>687</v>
      </c>
      <c r="B43" s="759"/>
      <c r="C43" s="759"/>
      <c r="D43" s="759"/>
      <c r="E43" s="759"/>
      <c r="F43" s="759"/>
      <c r="G43" s="759"/>
      <c r="H43" s="196"/>
      <c r="I43" s="196"/>
      <c r="J43" s="196"/>
    </row>
  </sheetData>
  <sheetProtection/>
  <mergeCells count="4">
    <mergeCell ref="F3:G3"/>
    <mergeCell ref="A1:G1"/>
    <mergeCell ref="A2:G2"/>
    <mergeCell ref="A43:G43"/>
  </mergeCells>
  <printOptions/>
  <pageMargins left="0.7086614173228347" right="0.39" top="0.46" bottom="0.5" header="0.24" footer="0.31496062992125984"/>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J38"/>
  <sheetViews>
    <sheetView zoomScale="75" zoomScaleNormal="75" zoomScalePageLayoutView="0" workbookViewId="0" topLeftCell="A1">
      <selection activeCell="L11" sqref="L11"/>
    </sheetView>
  </sheetViews>
  <sheetFormatPr defaultColWidth="9.00390625" defaultRowHeight="15.75"/>
  <cols>
    <col min="1" max="1" width="4.875" style="3" customWidth="1"/>
    <col min="2" max="2" width="47.125" style="3" customWidth="1"/>
    <col min="3" max="9" width="9.00390625" style="3" customWidth="1"/>
    <col min="10" max="10" width="14.25390625" style="3" customWidth="1"/>
  </cols>
  <sheetData>
    <row r="1" spans="1:10" ht="17.25">
      <c r="A1" s="554"/>
      <c r="B1" s="539"/>
      <c r="C1" s="554"/>
      <c r="D1" s="554"/>
      <c r="E1" s="554"/>
      <c r="F1" s="554"/>
      <c r="G1" s="554"/>
      <c r="H1" s="554"/>
      <c r="I1" s="554"/>
      <c r="J1" s="555"/>
    </row>
    <row r="2" spans="1:10" ht="82.5" customHeight="1">
      <c r="A2" s="857" t="s">
        <v>644</v>
      </c>
      <c r="B2" s="857"/>
      <c r="C2" s="857"/>
      <c r="D2" s="857"/>
      <c r="E2" s="857"/>
      <c r="F2" s="857"/>
      <c r="G2" s="857"/>
      <c r="H2" s="857"/>
      <c r="I2" s="857"/>
      <c r="J2" s="857"/>
    </row>
    <row r="3" spans="1:10" ht="43.5" customHeight="1">
      <c r="A3" s="857" t="s">
        <v>618</v>
      </c>
      <c r="B3" s="857"/>
      <c r="C3" s="857"/>
      <c r="D3" s="857"/>
      <c r="E3" s="857"/>
      <c r="F3" s="857"/>
      <c r="G3" s="857"/>
      <c r="H3" s="857"/>
      <c r="I3" s="857"/>
      <c r="J3" s="857"/>
    </row>
    <row r="4" spans="1:10" ht="18">
      <c r="A4" s="506"/>
      <c r="B4" s="882" t="s">
        <v>557</v>
      </c>
      <c r="C4" s="882"/>
      <c r="D4" s="882"/>
      <c r="E4" s="882"/>
      <c r="F4" s="882"/>
      <c r="G4" s="882"/>
      <c r="H4" s="882"/>
      <c r="I4" s="882"/>
      <c r="J4" s="882"/>
    </row>
    <row r="5" spans="1:10" ht="21" customHeight="1">
      <c r="A5" s="862" t="s">
        <v>492</v>
      </c>
      <c r="B5" s="861" t="s">
        <v>493</v>
      </c>
      <c r="C5" s="860" t="s">
        <v>490</v>
      </c>
      <c r="D5" s="860"/>
      <c r="E5" s="860"/>
      <c r="F5" s="860"/>
      <c r="G5" s="860"/>
      <c r="H5" s="860"/>
      <c r="I5" s="860"/>
      <c r="J5" s="863" t="s">
        <v>216</v>
      </c>
    </row>
    <row r="6" spans="1:10" ht="18.75" customHeight="1">
      <c r="A6" s="862"/>
      <c r="B6" s="861"/>
      <c r="C6" s="858" t="s">
        <v>447</v>
      </c>
      <c r="D6" s="858" t="s">
        <v>501</v>
      </c>
      <c r="E6" s="858"/>
      <c r="F6" s="858"/>
      <c r="G6" s="858"/>
      <c r="H6" s="858"/>
      <c r="I6" s="858"/>
      <c r="J6" s="864"/>
    </row>
    <row r="7" spans="1:10" ht="27" customHeight="1">
      <c r="A7" s="862"/>
      <c r="B7" s="861"/>
      <c r="C7" s="858"/>
      <c r="D7" s="859" t="s">
        <v>562</v>
      </c>
      <c r="E7" s="859"/>
      <c r="F7" s="859"/>
      <c r="G7" s="859" t="s">
        <v>563</v>
      </c>
      <c r="H7" s="859"/>
      <c r="I7" s="859"/>
      <c r="J7" s="864"/>
    </row>
    <row r="8" spans="1:10" ht="25.5" customHeight="1">
      <c r="A8" s="862"/>
      <c r="B8" s="861"/>
      <c r="C8" s="858"/>
      <c r="D8" s="541" t="s">
        <v>447</v>
      </c>
      <c r="E8" s="541" t="s">
        <v>478</v>
      </c>
      <c r="F8" s="541" t="s">
        <v>479</v>
      </c>
      <c r="G8" s="541" t="s">
        <v>447</v>
      </c>
      <c r="H8" s="541" t="s">
        <v>478</v>
      </c>
      <c r="I8" s="541" t="s">
        <v>479</v>
      </c>
      <c r="J8" s="865"/>
    </row>
    <row r="9" spans="1:10" ht="28.5" customHeight="1">
      <c r="A9" s="214"/>
      <c r="B9" s="214" t="s">
        <v>571</v>
      </c>
      <c r="C9" s="177">
        <f>C10+C13+C15+C18+C24+C29+C30+C31+C32+C34</f>
        <v>23508</v>
      </c>
      <c r="D9" s="177">
        <f aca="true" t="shared" si="0" ref="D9:I9">D10+D13+D15+D18+D24+D29+D30+D31+D32+D34</f>
        <v>20899</v>
      </c>
      <c r="E9" s="177">
        <f t="shared" si="0"/>
        <v>16997</v>
      </c>
      <c r="F9" s="177">
        <f t="shared" si="0"/>
        <v>3902</v>
      </c>
      <c r="G9" s="177">
        <f t="shared" si="0"/>
        <v>1848</v>
      </c>
      <c r="H9" s="177">
        <f t="shared" si="0"/>
        <v>1848</v>
      </c>
      <c r="I9" s="177">
        <f t="shared" si="0"/>
        <v>0</v>
      </c>
      <c r="J9" s="547"/>
    </row>
    <row r="10" spans="1:10" ht="36.75" customHeight="1">
      <c r="A10" s="214" t="s">
        <v>13</v>
      </c>
      <c r="B10" s="503" t="s">
        <v>506</v>
      </c>
      <c r="C10" s="177">
        <f aca="true" t="shared" si="1" ref="C10:I10">SUM(C11:C12)</f>
        <v>2232</v>
      </c>
      <c r="D10" s="177">
        <f t="shared" si="1"/>
        <v>2120</v>
      </c>
      <c r="E10" s="177">
        <f t="shared" si="1"/>
        <v>1120</v>
      </c>
      <c r="F10" s="177">
        <f t="shared" si="1"/>
        <v>1000</v>
      </c>
      <c r="G10" s="177">
        <f t="shared" si="1"/>
        <v>112</v>
      </c>
      <c r="H10" s="177">
        <f t="shared" si="1"/>
        <v>112</v>
      </c>
      <c r="I10" s="177">
        <f t="shared" si="1"/>
        <v>0</v>
      </c>
      <c r="J10" s="547" t="s">
        <v>628</v>
      </c>
    </row>
    <row r="11" spans="1:10" ht="29.25" customHeight="1">
      <c r="A11" s="217">
        <v>1</v>
      </c>
      <c r="B11" s="513" t="s">
        <v>507</v>
      </c>
      <c r="C11" s="505">
        <f>D11+G11</f>
        <v>1232</v>
      </c>
      <c r="D11" s="514">
        <f>SUM(E11:F11)</f>
        <v>1120</v>
      </c>
      <c r="E11" s="514">
        <v>1120</v>
      </c>
      <c r="F11" s="514"/>
      <c r="G11" s="505">
        <f>SUM(H11:I11)</f>
        <v>112</v>
      </c>
      <c r="H11" s="505">
        <v>112</v>
      </c>
      <c r="I11" s="505"/>
      <c r="J11" s="548"/>
    </row>
    <row r="12" spans="1:10" ht="32.25" customHeight="1">
      <c r="A12" s="217">
        <v>2</v>
      </c>
      <c r="B12" s="513" t="s">
        <v>395</v>
      </c>
      <c r="C12" s="505">
        <f>D12+G12</f>
        <v>1000</v>
      </c>
      <c r="D12" s="514">
        <f>SUM(E12:F12)</f>
        <v>1000</v>
      </c>
      <c r="E12" s="514"/>
      <c r="F12" s="514">
        <v>1000</v>
      </c>
      <c r="G12" s="505">
        <f>SUM(H12:I12)</f>
        <v>0</v>
      </c>
      <c r="H12" s="505"/>
      <c r="I12" s="505"/>
      <c r="J12" s="548"/>
    </row>
    <row r="13" spans="1:10" ht="87" customHeight="1">
      <c r="A13" s="214" t="s">
        <v>15</v>
      </c>
      <c r="B13" s="516" t="s">
        <v>513</v>
      </c>
      <c r="C13" s="177">
        <f aca="true" t="shared" si="2" ref="C13:I13">SUM(C14:C14)</f>
        <v>1846</v>
      </c>
      <c r="D13" s="177">
        <f t="shared" si="2"/>
        <v>1846</v>
      </c>
      <c r="E13" s="177">
        <f t="shared" si="2"/>
        <v>1846</v>
      </c>
      <c r="F13" s="177">
        <f t="shared" si="2"/>
        <v>0</v>
      </c>
      <c r="G13" s="177">
        <f t="shared" si="2"/>
        <v>0</v>
      </c>
      <c r="H13" s="177">
        <f t="shared" si="2"/>
        <v>0</v>
      </c>
      <c r="I13" s="177">
        <f t="shared" si="2"/>
        <v>0</v>
      </c>
      <c r="J13" s="547"/>
    </row>
    <row r="14" spans="1:10" ht="57.75" customHeight="1">
      <c r="A14" s="217">
        <v>1</v>
      </c>
      <c r="B14" s="556" t="s">
        <v>576</v>
      </c>
      <c r="C14" s="505">
        <f>D14+G14</f>
        <v>1846</v>
      </c>
      <c r="D14" s="505">
        <f>SUM(E14:F14)</f>
        <v>1846</v>
      </c>
      <c r="E14" s="505">
        <v>1846</v>
      </c>
      <c r="F14" s="505"/>
      <c r="G14" s="505">
        <v>0</v>
      </c>
      <c r="H14" s="505"/>
      <c r="I14" s="505"/>
      <c r="J14" s="548" t="s">
        <v>645</v>
      </c>
    </row>
    <row r="15" spans="1:10" ht="54.75" customHeight="1">
      <c r="A15" s="214" t="s">
        <v>12</v>
      </c>
      <c r="B15" s="517" t="s">
        <v>514</v>
      </c>
      <c r="C15" s="177">
        <f aca="true" t="shared" si="3" ref="C15:I15">C16</f>
        <v>947</v>
      </c>
      <c r="D15" s="177">
        <f t="shared" si="3"/>
        <v>947</v>
      </c>
      <c r="E15" s="177">
        <f t="shared" si="3"/>
        <v>0</v>
      </c>
      <c r="F15" s="177">
        <f t="shared" si="3"/>
        <v>947</v>
      </c>
      <c r="G15" s="177">
        <f t="shared" si="3"/>
        <v>0</v>
      </c>
      <c r="H15" s="177">
        <f t="shared" si="3"/>
        <v>0</v>
      </c>
      <c r="I15" s="177">
        <f t="shared" si="3"/>
        <v>0</v>
      </c>
      <c r="J15" s="547" t="s">
        <v>628</v>
      </c>
    </row>
    <row r="16" spans="1:10" ht="69" customHeight="1">
      <c r="A16" s="214">
        <v>1</v>
      </c>
      <c r="B16" s="516" t="s">
        <v>516</v>
      </c>
      <c r="C16" s="177">
        <f aca="true" t="shared" si="4" ref="C16:I16">SUM(C17:C17)</f>
        <v>947</v>
      </c>
      <c r="D16" s="177">
        <f>SUM(D17:D17)</f>
        <v>947</v>
      </c>
      <c r="E16" s="177">
        <f t="shared" si="4"/>
        <v>0</v>
      </c>
      <c r="F16" s="177">
        <f t="shared" si="4"/>
        <v>947</v>
      </c>
      <c r="G16" s="177">
        <f t="shared" si="4"/>
        <v>0</v>
      </c>
      <c r="H16" s="177">
        <f t="shared" si="4"/>
        <v>0</v>
      </c>
      <c r="I16" s="177">
        <f t="shared" si="4"/>
        <v>0</v>
      </c>
      <c r="J16" s="547"/>
    </row>
    <row r="17" spans="1:10" ht="59.25" customHeight="1">
      <c r="A17" s="217" t="s">
        <v>511</v>
      </c>
      <c r="B17" s="521" t="s">
        <v>572</v>
      </c>
      <c r="C17" s="505">
        <f>SUM(D17:D17)</f>
        <v>947</v>
      </c>
      <c r="D17" s="520">
        <f>SUM(E17:F17)</f>
        <v>947</v>
      </c>
      <c r="E17" s="520"/>
      <c r="F17" s="520">
        <v>947</v>
      </c>
      <c r="G17" s="505">
        <v>0</v>
      </c>
      <c r="H17" s="505"/>
      <c r="I17" s="505"/>
      <c r="J17" s="548"/>
    </row>
    <row r="18" spans="1:10" ht="45.75" customHeight="1">
      <c r="A18" s="214" t="s">
        <v>12</v>
      </c>
      <c r="B18" s="517" t="s">
        <v>347</v>
      </c>
      <c r="C18" s="177">
        <f aca="true" t="shared" si="5" ref="C18:I18">C19</f>
        <v>6868</v>
      </c>
      <c r="D18" s="177">
        <f>D19</f>
        <v>6107</v>
      </c>
      <c r="E18" s="177">
        <f t="shared" si="5"/>
        <v>5802</v>
      </c>
      <c r="F18" s="177">
        <f t="shared" si="5"/>
        <v>305</v>
      </c>
      <c r="G18" s="177">
        <f t="shared" si="5"/>
        <v>0</v>
      </c>
      <c r="H18" s="177">
        <f t="shared" si="5"/>
        <v>0</v>
      </c>
      <c r="I18" s="177">
        <f t="shared" si="5"/>
        <v>0</v>
      </c>
      <c r="J18" s="547"/>
    </row>
    <row r="19" spans="1:10" ht="54" customHeight="1">
      <c r="A19" s="217">
        <v>1</v>
      </c>
      <c r="B19" s="521" t="s">
        <v>517</v>
      </c>
      <c r="C19" s="550">
        <f>SUM(C20:C23)</f>
        <v>6868</v>
      </c>
      <c r="D19" s="550">
        <f aca="true" t="shared" si="6" ref="D19:I19">SUM(D20:D22)</f>
        <v>6107</v>
      </c>
      <c r="E19" s="550">
        <f t="shared" si="6"/>
        <v>5802</v>
      </c>
      <c r="F19" s="550">
        <f t="shared" si="6"/>
        <v>305</v>
      </c>
      <c r="G19" s="505">
        <f t="shared" si="6"/>
        <v>0</v>
      </c>
      <c r="H19" s="505">
        <f t="shared" si="6"/>
        <v>0</v>
      </c>
      <c r="I19" s="505">
        <f t="shared" si="6"/>
        <v>0</v>
      </c>
      <c r="J19" s="177"/>
    </row>
    <row r="20" spans="1:10" ht="32.25" customHeight="1">
      <c r="A20" s="217" t="s">
        <v>511</v>
      </c>
      <c r="B20" s="542" t="s">
        <v>545</v>
      </c>
      <c r="C20" s="550">
        <f>SUM(D20:D20)</f>
        <v>5602</v>
      </c>
      <c r="D20" s="551">
        <f>SUM(E20:F20)</f>
        <v>5602</v>
      </c>
      <c r="E20" s="551">
        <v>5602</v>
      </c>
      <c r="F20" s="551"/>
      <c r="G20" s="514">
        <f>SUM(H20:I20)</f>
        <v>0</v>
      </c>
      <c r="H20" s="514"/>
      <c r="I20" s="514"/>
      <c r="J20" s="177" t="s">
        <v>628</v>
      </c>
    </row>
    <row r="21" spans="1:10" ht="33" customHeight="1">
      <c r="A21" s="217" t="s">
        <v>511</v>
      </c>
      <c r="B21" s="542" t="s">
        <v>631</v>
      </c>
      <c r="C21" s="550">
        <f>SUM(D21:D21)</f>
        <v>305</v>
      </c>
      <c r="D21" s="551">
        <f>SUM(E21:F21)</f>
        <v>305</v>
      </c>
      <c r="E21" s="551"/>
      <c r="F21" s="551">
        <v>305</v>
      </c>
      <c r="G21" s="514">
        <f>SUM(H21:I21)</f>
        <v>0</v>
      </c>
      <c r="H21" s="514"/>
      <c r="I21" s="514"/>
      <c r="J21" s="177" t="s">
        <v>628</v>
      </c>
    </row>
    <row r="22" spans="1:10" ht="38.25" customHeight="1">
      <c r="A22" s="217" t="s">
        <v>511</v>
      </c>
      <c r="B22" s="511" t="s">
        <v>622</v>
      </c>
      <c r="C22" s="550">
        <f>SUM(D22:D22)</f>
        <v>200</v>
      </c>
      <c r="D22" s="551">
        <f>SUM(E22:F22)</f>
        <v>200</v>
      </c>
      <c r="E22" s="551">
        <v>200</v>
      </c>
      <c r="F22" s="551"/>
      <c r="G22" s="514">
        <f>SUM(H22:I22)</f>
        <v>0</v>
      </c>
      <c r="H22" s="514"/>
      <c r="I22" s="514"/>
      <c r="J22" s="581" t="s">
        <v>647</v>
      </c>
    </row>
    <row r="23" spans="1:10" ht="30" customHeight="1">
      <c r="A23" s="217" t="s">
        <v>511</v>
      </c>
      <c r="B23" s="511" t="s">
        <v>632</v>
      </c>
      <c r="C23" s="550">
        <f>SUM(D23:D23)</f>
        <v>761</v>
      </c>
      <c r="D23" s="551">
        <f>SUM(E23:F23)</f>
        <v>761</v>
      </c>
      <c r="E23" s="551">
        <v>761</v>
      </c>
      <c r="F23" s="551"/>
      <c r="G23" s="514"/>
      <c r="H23" s="514"/>
      <c r="I23" s="514"/>
      <c r="J23" s="177" t="s">
        <v>628</v>
      </c>
    </row>
    <row r="24" spans="1:10" ht="42.75" customHeight="1">
      <c r="A24" s="214" t="s">
        <v>16</v>
      </c>
      <c r="B24" s="517" t="s">
        <v>354</v>
      </c>
      <c r="C24" s="177">
        <f>C25+C27+C28</f>
        <v>4530</v>
      </c>
      <c r="D24" s="177">
        <f aca="true" t="shared" si="7" ref="D24:I24">D25+D27+D28</f>
        <v>2794</v>
      </c>
      <c r="E24" s="177">
        <f t="shared" si="7"/>
        <v>2000</v>
      </c>
      <c r="F24" s="177">
        <f t="shared" si="7"/>
        <v>794</v>
      </c>
      <c r="G24" s="177">
        <f t="shared" si="7"/>
        <v>1736</v>
      </c>
      <c r="H24" s="177">
        <f t="shared" si="7"/>
        <v>1736</v>
      </c>
      <c r="I24" s="177">
        <f t="shared" si="7"/>
        <v>0</v>
      </c>
      <c r="J24" s="547"/>
    </row>
    <row r="25" spans="1:10" ht="67.5" customHeight="1">
      <c r="A25" s="217">
        <v>1</v>
      </c>
      <c r="B25" s="518" t="s">
        <v>518</v>
      </c>
      <c r="C25" s="505">
        <f aca="true" t="shared" si="8" ref="C25:I25">C26</f>
        <v>3736</v>
      </c>
      <c r="D25" s="505">
        <f t="shared" si="8"/>
        <v>2000</v>
      </c>
      <c r="E25" s="505">
        <f t="shared" si="8"/>
        <v>2000</v>
      </c>
      <c r="F25" s="505">
        <f t="shared" si="8"/>
        <v>0</v>
      </c>
      <c r="G25" s="505">
        <f t="shared" si="8"/>
        <v>1736</v>
      </c>
      <c r="H25" s="505">
        <f t="shared" si="8"/>
        <v>1736</v>
      </c>
      <c r="I25" s="505">
        <f t="shared" si="8"/>
        <v>0</v>
      </c>
      <c r="J25" s="548"/>
    </row>
    <row r="26" spans="1:10" ht="25.5">
      <c r="A26" s="217" t="s">
        <v>511</v>
      </c>
      <c r="B26" s="513" t="s">
        <v>575</v>
      </c>
      <c r="C26" s="505">
        <f>D26+G26</f>
        <v>3736</v>
      </c>
      <c r="D26" s="514">
        <f aca="true" t="shared" si="9" ref="D26:D36">SUM(E26:F26)</f>
        <v>2000</v>
      </c>
      <c r="E26" s="514">
        <v>2000</v>
      </c>
      <c r="F26" s="514"/>
      <c r="G26" s="514">
        <f aca="true" t="shared" si="10" ref="G26:G33">SUM(H26:I26)</f>
        <v>1736</v>
      </c>
      <c r="H26" s="514">
        <v>1736</v>
      </c>
      <c r="I26" s="514"/>
      <c r="J26" s="582" t="s">
        <v>646</v>
      </c>
    </row>
    <row r="27" spans="1:10" ht="51.75" customHeight="1">
      <c r="A27" s="217">
        <v>2</v>
      </c>
      <c r="B27" s="518" t="s">
        <v>356</v>
      </c>
      <c r="C27" s="505">
        <f>D27+G27</f>
        <v>174</v>
      </c>
      <c r="D27" s="514">
        <f>SUM(E27:F27)</f>
        <v>174</v>
      </c>
      <c r="E27" s="514"/>
      <c r="F27" s="514">
        <v>174</v>
      </c>
      <c r="G27" s="546"/>
      <c r="H27" s="546"/>
      <c r="I27" s="546"/>
      <c r="J27" s="177" t="s">
        <v>628</v>
      </c>
    </row>
    <row r="28" spans="1:10" ht="46.5">
      <c r="A28" s="217">
        <v>3</v>
      </c>
      <c r="B28" s="518" t="s">
        <v>520</v>
      </c>
      <c r="C28" s="505">
        <f>D28+G28</f>
        <v>620</v>
      </c>
      <c r="D28" s="514">
        <f>SUM(E28:F28)</f>
        <v>620</v>
      </c>
      <c r="E28" s="514"/>
      <c r="F28" s="514">
        <v>620</v>
      </c>
      <c r="G28" s="546"/>
      <c r="H28" s="546"/>
      <c r="I28" s="546"/>
      <c r="J28" s="177" t="s">
        <v>628</v>
      </c>
    </row>
    <row r="29" spans="1:10" ht="50.25" customHeight="1">
      <c r="A29" s="214" t="s">
        <v>19</v>
      </c>
      <c r="B29" s="517" t="s">
        <v>522</v>
      </c>
      <c r="C29" s="177">
        <f aca="true" t="shared" si="11" ref="C29:C35">D29+G29</f>
        <v>6360</v>
      </c>
      <c r="D29" s="523">
        <f t="shared" si="9"/>
        <v>6360</v>
      </c>
      <c r="E29" s="523">
        <v>6229</v>
      </c>
      <c r="F29" s="523">
        <v>131</v>
      </c>
      <c r="G29" s="514">
        <f t="shared" si="10"/>
        <v>0</v>
      </c>
      <c r="H29" s="523"/>
      <c r="I29" s="523"/>
      <c r="J29" s="177" t="s">
        <v>628</v>
      </c>
    </row>
    <row r="30" spans="1:10" ht="53.25" customHeight="1">
      <c r="A30" s="214" t="s">
        <v>35</v>
      </c>
      <c r="B30" s="517" t="s">
        <v>523</v>
      </c>
      <c r="C30" s="177">
        <f t="shared" si="11"/>
        <v>258</v>
      </c>
      <c r="D30" s="523">
        <f t="shared" si="9"/>
        <v>258</v>
      </c>
      <c r="E30" s="523"/>
      <c r="F30" s="523">
        <v>258</v>
      </c>
      <c r="G30" s="514">
        <f t="shared" si="10"/>
        <v>0</v>
      </c>
      <c r="H30" s="523"/>
      <c r="I30" s="523"/>
      <c r="J30" s="177" t="s">
        <v>628</v>
      </c>
    </row>
    <row r="31" spans="1:10" ht="46.5" customHeight="1">
      <c r="A31" s="214" t="s">
        <v>36</v>
      </c>
      <c r="B31" s="517" t="s">
        <v>525</v>
      </c>
      <c r="C31" s="177">
        <f t="shared" si="11"/>
        <v>316</v>
      </c>
      <c r="D31" s="523">
        <f t="shared" si="9"/>
        <v>316</v>
      </c>
      <c r="E31" s="523"/>
      <c r="F31" s="523">
        <v>316</v>
      </c>
      <c r="G31" s="514">
        <f t="shared" si="10"/>
        <v>0</v>
      </c>
      <c r="H31" s="523"/>
      <c r="I31" s="523"/>
      <c r="J31" s="177" t="s">
        <v>628</v>
      </c>
    </row>
    <row r="32" spans="1:10" ht="46.5" customHeight="1">
      <c r="A32" s="214" t="s">
        <v>524</v>
      </c>
      <c r="B32" s="517" t="s">
        <v>527</v>
      </c>
      <c r="C32" s="177">
        <f t="shared" si="11"/>
        <v>59</v>
      </c>
      <c r="D32" s="523">
        <f t="shared" si="9"/>
        <v>59</v>
      </c>
      <c r="E32" s="177"/>
      <c r="F32" s="553">
        <f>F33</f>
        <v>59</v>
      </c>
      <c r="G32" s="514">
        <f t="shared" si="10"/>
        <v>0</v>
      </c>
      <c r="H32" s="177"/>
      <c r="I32" s="177"/>
      <c r="J32" s="177" t="s">
        <v>628</v>
      </c>
    </row>
    <row r="33" spans="1:10" ht="39.75" customHeight="1">
      <c r="A33" s="217">
        <v>1</v>
      </c>
      <c r="B33" s="518" t="s">
        <v>528</v>
      </c>
      <c r="C33" s="505">
        <f t="shared" si="11"/>
        <v>59</v>
      </c>
      <c r="D33" s="514">
        <f t="shared" si="9"/>
        <v>59</v>
      </c>
      <c r="E33" s="520"/>
      <c r="F33" s="520">
        <v>59</v>
      </c>
      <c r="G33" s="514">
        <f t="shared" si="10"/>
        <v>0</v>
      </c>
      <c r="H33" s="520"/>
      <c r="I33" s="520"/>
      <c r="J33" s="177" t="s">
        <v>628</v>
      </c>
    </row>
    <row r="34" spans="1:10" ht="64.5" customHeight="1">
      <c r="A34" s="214" t="s">
        <v>526</v>
      </c>
      <c r="B34" s="517" t="s">
        <v>552</v>
      </c>
      <c r="C34" s="177">
        <f t="shared" si="11"/>
        <v>92</v>
      </c>
      <c r="D34" s="523">
        <f t="shared" si="9"/>
        <v>92</v>
      </c>
      <c r="E34" s="177">
        <f>SUM(E35:E36)</f>
        <v>0</v>
      </c>
      <c r="F34" s="177">
        <f>SUM(F35:F36)</f>
        <v>92</v>
      </c>
      <c r="G34" s="177">
        <f>SUM(G35:G36)</f>
        <v>0</v>
      </c>
      <c r="H34" s="177">
        <f>SUM(H35:H36)</f>
        <v>0</v>
      </c>
      <c r="I34" s="177">
        <f>SUM(I35:I36)</f>
        <v>0</v>
      </c>
      <c r="J34" s="177" t="s">
        <v>628</v>
      </c>
    </row>
    <row r="35" spans="1:10" ht="46.5" customHeight="1">
      <c r="A35" s="217">
        <v>1</v>
      </c>
      <c r="B35" s="504" t="s">
        <v>529</v>
      </c>
      <c r="C35" s="505">
        <f t="shared" si="11"/>
        <v>68</v>
      </c>
      <c r="D35" s="514">
        <f t="shared" si="9"/>
        <v>68</v>
      </c>
      <c r="E35" s="505"/>
      <c r="F35" s="550">
        <v>68</v>
      </c>
      <c r="G35" s="514">
        <f>SUM(H35:I35)</f>
        <v>0</v>
      </c>
      <c r="H35" s="505"/>
      <c r="I35" s="505"/>
      <c r="J35" s="552"/>
    </row>
    <row r="36" spans="1:10" ht="33.75" customHeight="1">
      <c r="A36" s="217">
        <v>2</v>
      </c>
      <c r="B36" s="521" t="s">
        <v>531</v>
      </c>
      <c r="C36" s="505">
        <f>SUM(D36:D36)</f>
        <v>24</v>
      </c>
      <c r="D36" s="514">
        <f t="shared" si="9"/>
        <v>24</v>
      </c>
      <c r="E36" s="520"/>
      <c r="F36" s="520">
        <v>24</v>
      </c>
      <c r="G36" s="514">
        <f>SUM(H36:I36)</f>
        <v>0</v>
      </c>
      <c r="H36" s="520"/>
      <c r="I36" s="520"/>
      <c r="J36" s="177"/>
    </row>
    <row r="38" spans="1:10" ht="15">
      <c r="A38" s="759" t="s">
        <v>693</v>
      </c>
      <c r="B38" s="766"/>
      <c r="C38" s="766"/>
      <c r="D38" s="766"/>
      <c r="E38" s="766"/>
      <c r="F38" s="766"/>
      <c r="G38" s="766"/>
      <c r="H38" s="766"/>
      <c r="I38" s="766"/>
      <c r="J38" s="766"/>
    </row>
  </sheetData>
  <sheetProtection/>
  <mergeCells count="12">
    <mergeCell ref="A5:A8"/>
    <mergeCell ref="B5:B8"/>
    <mergeCell ref="C5:I5"/>
    <mergeCell ref="J5:J8"/>
    <mergeCell ref="A38:J38"/>
    <mergeCell ref="A2:J2"/>
    <mergeCell ref="B4:J4"/>
    <mergeCell ref="C6:C8"/>
    <mergeCell ref="D6:I6"/>
    <mergeCell ref="D7:F7"/>
    <mergeCell ref="G7:I7"/>
    <mergeCell ref="A3:J3"/>
  </mergeCells>
  <printOptions/>
  <pageMargins left="0.49" right="0.35" top="0.53" bottom="0.44" header="0.31496062992125984" footer="0.24"/>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J31"/>
  <sheetViews>
    <sheetView zoomScale="69" zoomScaleNormal="69" zoomScalePageLayoutView="0" workbookViewId="0" topLeftCell="A1">
      <selection activeCell="I42" sqref="I42"/>
    </sheetView>
  </sheetViews>
  <sheetFormatPr defaultColWidth="9.00390625" defaultRowHeight="15.75"/>
  <cols>
    <col min="1" max="1" width="4.375" style="3" customWidth="1"/>
    <col min="2" max="2" width="45.75390625" style="3" customWidth="1"/>
    <col min="3" max="9" width="9.00390625" style="3" customWidth="1"/>
    <col min="10" max="10" width="14.50390625" style="3" customWidth="1"/>
  </cols>
  <sheetData>
    <row r="1" spans="1:10" ht="99" customHeight="1">
      <c r="A1" s="857" t="s">
        <v>685</v>
      </c>
      <c r="B1" s="857"/>
      <c r="C1" s="857"/>
      <c r="D1" s="857"/>
      <c r="E1" s="857"/>
      <c r="F1" s="857"/>
      <c r="G1" s="857"/>
      <c r="H1" s="857"/>
      <c r="I1" s="857"/>
      <c r="J1" s="857"/>
    </row>
    <row r="2" spans="1:10" ht="38.25" customHeight="1">
      <c r="A2" s="857" t="s">
        <v>619</v>
      </c>
      <c r="B2" s="857"/>
      <c r="C2" s="857"/>
      <c r="D2" s="857"/>
      <c r="E2" s="857"/>
      <c r="F2" s="857"/>
      <c r="G2" s="857"/>
      <c r="H2" s="857"/>
      <c r="I2" s="857"/>
      <c r="J2" s="857"/>
    </row>
    <row r="3" spans="1:10" ht="18">
      <c r="A3" s="506"/>
      <c r="B3" s="882" t="s">
        <v>557</v>
      </c>
      <c r="C3" s="882"/>
      <c r="D3" s="882"/>
      <c r="E3" s="882"/>
      <c r="F3" s="882"/>
      <c r="G3" s="882"/>
      <c r="H3" s="882"/>
      <c r="I3" s="882"/>
      <c r="J3" s="882"/>
    </row>
    <row r="4" spans="1:10" ht="18">
      <c r="A4" s="862" t="s">
        <v>492</v>
      </c>
      <c r="B4" s="861" t="s">
        <v>493</v>
      </c>
      <c r="C4" s="860" t="s">
        <v>490</v>
      </c>
      <c r="D4" s="860"/>
      <c r="E4" s="860"/>
      <c r="F4" s="860"/>
      <c r="G4" s="860"/>
      <c r="H4" s="860"/>
      <c r="I4" s="860"/>
      <c r="J4" s="863" t="s">
        <v>216</v>
      </c>
    </row>
    <row r="5" spans="1:10" ht="18.75" customHeight="1">
      <c r="A5" s="862"/>
      <c r="B5" s="861"/>
      <c r="C5" s="858" t="s">
        <v>447</v>
      </c>
      <c r="D5" s="858" t="s">
        <v>501</v>
      </c>
      <c r="E5" s="858"/>
      <c r="F5" s="858"/>
      <c r="G5" s="858"/>
      <c r="H5" s="858"/>
      <c r="I5" s="858"/>
      <c r="J5" s="864"/>
    </row>
    <row r="6" spans="1:10" ht="20.25" customHeight="1">
      <c r="A6" s="862"/>
      <c r="B6" s="861"/>
      <c r="C6" s="858"/>
      <c r="D6" s="859" t="s">
        <v>562</v>
      </c>
      <c r="E6" s="859"/>
      <c r="F6" s="859"/>
      <c r="G6" s="859" t="s">
        <v>563</v>
      </c>
      <c r="H6" s="859"/>
      <c r="I6" s="859"/>
      <c r="J6" s="864"/>
    </row>
    <row r="7" spans="1:10" ht="23.25" customHeight="1">
      <c r="A7" s="862"/>
      <c r="B7" s="861"/>
      <c r="C7" s="858"/>
      <c r="D7" s="541" t="s">
        <v>447</v>
      </c>
      <c r="E7" s="541" t="s">
        <v>478</v>
      </c>
      <c r="F7" s="541" t="s">
        <v>479</v>
      </c>
      <c r="G7" s="541" t="s">
        <v>447</v>
      </c>
      <c r="H7" s="541" t="s">
        <v>478</v>
      </c>
      <c r="I7" s="541" t="s">
        <v>479</v>
      </c>
      <c r="J7" s="865"/>
    </row>
    <row r="8" spans="1:10" ht="25.5" customHeight="1">
      <c r="A8" s="214"/>
      <c r="B8" s="214" t="s">
        <v>578</v>
      </c>
      <c r="C8" s="177">
        <f>C9+C12+C15+C19+C22+C23+C24+C26</f>
        <v>1685</v>
      </c>
      <c r="D8" s="177">
        <f aca="true" t="shared" si="0" ref="D8:I8">D9+D12+D15+D19+D22+D23+D24+D26</f>
        <v>1673</v>
      </c>
      <c r="E8" s="177">
        <f t="shared" si="0"/>
        <v>604</v>
      </c>
      <c r="F8" s="177">
        <f t="shared" si="0"/>
        <v>1069</v>
      </c>
      <c r="G8" s="177">
        <f t="shared" si="0"/>
        <v>12</v>
      </c>
      <c r="H8" s="177">
        <f t="shared" si="0"/>
        <v>12</v>
      </c>
      <c r="I8" s="177">
        <f t="shared" si="0"/>
        <v>0</v>
      </c>
      <c r="J8" s="547"/>
    </row>
    <row r="9" spans="1:10" ht="30" customHeight="1">
      <c r="A9" s="214" t="s">
        <v>13</v>
      </c>
      <c r="B9" s="503" t="s">
        <v>506</v>
      </c>
      <c r="C9" s="177">
        <f aca="true" t="shared" si="1" ref="C9:I9">SUM(C10:C11)</f>
        <v>363</v>
      </c>
      <c r="D9" s="177">
        <f t="shared" si="1"/>
        <v>351</v>
      </c>
      <c r="E9" s="177">
        <f t="shared" si="1"/>
        <v>120</v>
      </c>
      <c r="F9" s="177">
        <f t="shared" si="1"/>
        <v>231</v>
      </c>
      <c r="G9" s="177">
        <f t="shared" si="1"/>
        <v>12</v>
      </c>
      <c r="H9" s="177">
        <f t="shared" si="1"/>
        <v>12</v>
      </c>
      <c r="I9" s="177">
        <f t="shared" si="1"/>
        <v>0</v>
      </c>
      <c r="J9" s="177" t="s">
        <v>628</v>
      </c>
    </row>
    <row r="10" spans="1:10" ht="24.75" customHeight="1">
      <c r="A10" s="217">
        <v>1</v>
      </c>
      <c r="B10" s="542" t="s">
        <v>507</v>
      </c>
      <c r="C10" s="505">
        <f>D10+G10</f>
        <v>132</v>
      </c>
      <c r="D10" s="543">
        <f>SUM(E10:F10)</f>
        <v>120</v>
      </c>
      <c r="E10" s="543">
        <v>120</v>
      </c>
      <c r="F10" s="543"/>
      <c r="G10" s="505">
        <f>SUM(H10:I10)</f>
        <v>12</v>
      </c>
      <c r="H10" s="505">
        <v>12</v>
      </c>
      <c r="I10" s="505"/>
      <c r="J10" s="549"/>
    </row>
    <row r="11" spans="1:10" ht="30.75" customHeight="1">
      <c r="A11" s="217">
        <v>2</v>
      </c>
      <c r="B11" s="542" t="s">
        <v>395</v>
      </c>
      <c r="C11" s="505">
        <f>D11+G11</f>
        <v>231</v>
      </c>
      <c r="D11" s="543">
        <f>SUM(E11:F11)</f>
        <v>231</v>
      </c>
      <c r="E11" s="546"/>
      <c r="F11" s="546">
        <v>231</v>
      </c>
      <c r="G11" s="505">
        <f>SUM(H11:I11)</f>
        <v>0</v>
      </c>
      <c r="H11" s="505"/>
      <c r="I11" s="505"/>
      <c r="J11" s="549"/>
    </row>
    <row r="12" spans="1:10" ht="52.5" customHeight="1">
      <c r="A12" s="214" t="s">
        <v>15</v>
      </c>
      <c r="B12" s="517" t="s">
        <v>514</v>
      </c>
      <c r="C12" s="177">
        <f>C13</f>
        <v>77</v>
      </c>
      <c r="D12" s="177">
        <f aca="true" t="shared" si="2" ref="D12:I12">D13</f>
        <v>77</v>
      </c>
      <c r="E12" s="177">
        <f t="shared" si="2"/>
        <v>0</v>
      </c>
      <c r="F12" s="177">
        <f t="shared" si="2"/>
        <v>77</v>
      </c>
      <c r="G12" s="177">
        <f t="shared" si="2"/>
        <v>0</v>
      </c>
      <c r="H12" s="177">
        <f t="shared" si="2"/>
        <v>0</v>
      </c>
      <c r="I12" s="177">
        <f t="shared" si="2"/>
        <v>0</v>
      </c>
      <c r="J12" s="177" t="s">
        <v>628</v>
      </c>
    </row>
    <row r="13" spans="1:10" ht="87" customHeight="1">
      <c r="A13" s="214">
        <v>1</v>
      </c>
      <c r="B13" s="544" t="s">
        <v>516</v>
      </c>
      <c r="C13" s="177">
        <f aca="true" t="shared" si="3" ref="C13:I13">SUM(C14:C14)</f>
        <v>77</v>
      </c>
      <c r="D13" s="177">
        <f>SUM(D14:D14)</f>
        <v>77</v>
      </c>
      <c r="E13" s="177">
        <f t="shared" si="3"/>
        <v>0</v>
      </c>
      <c r="F13" s="177">
        <f t="shared" si="3"/>
        <v>77</v>
      </c>
      <c r="G13" s="177">
        <f t="shared" si="3"/>
        <v>0</v>
      </c>
      <c r="H13" s="177">
        <f t="shared" si="3"/>
        <v>0</v>
      </c>
      <c r="I13" s="177">
        <f t="shared" si="3"/>
        <v>0</v>
      </c>
      <c r="J13" s="177" t="s">
        <v>628</v>
      </c>
    </row>
    <row r="14" spans="1:10" ht="64.5" customHeight="1">
      <c r="A14" s="217" t="s">
        <v>511</v>
      </c>
      <c r="B14" s="519" t="s">
        <v>572</v>
      </c>
      <c r="C14" s="505">
        <f>SUM(D14:D14)</f>
        <v>77</v>
      </c>
      <c r="D14" s="520">
        <f>SUM(E14:F14)</f>
        <v>77</v>
      </c>
      <c r="E14" s="520"/>
      <c r="F14" s="520">
        <v>77</v>
      </c>
      <c r="G14" s="505">
        <v>0</v>
      </c>
      <c r="H14" s="505"/>
      <c r="I14" s="505"/>
      <c r="J14" s="549"/>
    </row>
    <row r="15" spans="1:10" ht="67.5" customHeight="1">
      <c r="A15" s="214" t="s">
        <v>12</v>
      </c>
      <c r="B15" s="517" t="s">
        <v>347</v>
      </c>
      <c r="C15" s="177">
        <f aca="true" t="shared" si="4" ref="C15:I15">C16</f>
        <v>510</v>
      </c>
      <c r="D15" s="177">
        <f t="shared" si="4"/>
        <v>510</v>
      </c>
      <c r="E15" s="177">
        <f t="shared" si="4"/>
        <v>484</v>
      </c>
      <c r="F15" s="177">
        <f t="shared" si="4"/>
        <v>26</v>
      </c>
      <c r="G15" s="177">
        <f t="shared" si="4"/>
        <v>0</v>
      </c>
      <c r="H15" s="177">
        <f t="shared" si="4"/>
        <v>0</v>
      </c>
      <c r="I15" s="177">
        <f t="shared" si="4"/>
        <v>0</v>
      </c>
      <c r="J15" s="177" t="s">
        <v>628</v>
      </c>
    </row>
    <row r="16" spans="1:10" ht="57.75" customHeight="1">
      <c r="A16" s="217">
        <v>1</v>
      </c>
      <c r="B16" s="521" t="s">
        <v>517</v>
      </c>
      <c r="C16" s="505">
        <f aca="true" t="shared" si="5" ref="C16:I16">SUM(C17:C18)</f>
        <v>510</v>
      </c>
      <c r="D16" s="505">
        <f t="shared" si="5"/>
        <v>510</v>
      </c>
      <c r="E16" s="505">
        <f t="shared" si="5"/>
        <v>484</v>
      </c>
      <c r="F16" s="505">
        <f t="shared" si="5"/>
        <v>26</v>
      </c>
      <c r="G16" s="505">
        <f t="shared" si="5"/>
        <v>0</v>
      </c>
      <c r="H16" s="505">
        <f t="shared" si="5"/>
        <v>0</v>
      </c>
      <c r="I16" s="505">
        <f t="shared" si="5"/>
        <v>0</v>
      </c>
      <c r="J16" s="548"/>
    </row>
    <row r="17" spans="1:10" ht="27.75" customHeight="1">
      <c r="A17" s="217" t="s">
        <v>511</v>
      </c>
      <c r="B17" s="542" t="s">
        <v>545</v>
      </c>
      <c r="C17" s="505">
        <f>SUM(D17:D17)</f>
        <v>484</v>
      </c>
      <c r="D17" s="514">
        <f>SUM(E17:F17)</f>
        <v>484</v>
      </c>
      <c r="E17" s="514">
        <v>484</v>
      </c>
      <c r="F17" s="514"/>
      <c r="G17" s="514">
        <f>SUM(H17:I17)</f>
        <v>0</v>
      </c>
      <c r="H17" s="514"/>
      <c r="I17" s="514"/>
      <c r="J17" s="549"/>
    </row>
    <row r="18" spans="1:10" ht="24" customHeight="1">
      <c r="A18" s="217" t="s">
        <v>511</v>
      </c>
      <c r="B18" s="542" t="s">
        <v>631</v>
      </c>
      <c r="C18" s="505">
        <f>SUM(D18:D18)</f>
        <v>26</v>
      </c>
      <c r="D18" s="514">
        <f aca="true" t="shared" si="6" ref="D18:D25">SUM(E18:F18)</f>
        <v>26</v>
      </c>
      <c r="E18" s="514"/>
      <c r="F18" s="514">
        <v>26</v>
      </c>
      <c r="G18" s="514">
        <f aca="true" t="shared" si="7" ref="G18:G25">SUM(H18:I18)</f>
        <v>0</v>
      </c>
      <c r="H18" s="514"/>
      <c r="I18" s="514"/>
      <c r="J18" s="549"/>
    </row>
    <row r="19" spans="1:10" ht="39" customHeight="1">
      <c r="A19" s="214" t="s">
        <v>16</v>
      </c>
      <c r="B19" s="517" t="s">
        <v>354</v>
      </c>
      <c r="C19" s="177">
        <f>C20+C21</f>
        <v>602</v>
      </c>
      <c r="D19" s="177">
        <f aca="true" t="shared" si="8" ref="D19:I19">D20+D21</f>
        <v>602</v>
      </c>
      <c r="E19" s="177">
        <f t="shared" si="8"/>
        <v>0</v>
      </c>
      <c r="F19" s="177">
        <f t="shared" si="8"/>
        <v>602</v>
      </c>
      <c r="G19" s="177">
        <f t="shared" si="8"/>
        <v>0</v>
      </c>
      <c r="H19" s="177">
        <f t="shared" si="8"/>
        <v>0</v>
      </c>
      <c r="I19" s="177">
        <f t="shared" si="8"/>
        <v>0</v>
      </c>
      <c r="J19" s="177" t="s">
        <v>628</v>
      </c>
    </row>
    <row r="20" spans="1:10" ht="61.5" customHeight="1">
      <c r="A20" s="217">
        <v>1</v>
      </c>
      <c r="B20" s="518" t="s">
        <v>356</v>
      </c>
      <c r="C20" s="505">
        <f>D20+G20</f>
        <v>87</v>
      </c>
      <c r="D20" s="514">
        <f>SUM(E20:F20)</f>
        <v>87</v>
      </c>
      <c r="E20" s="514"/>
      <c r="F20" s="514">
        <v>87</v>
      </c>
      <c r="G20" s="546"/>
      <c r="H20" s="546"/>
      <c r="I20" s="546"/>
      <c r="J20" s="549"/>
    </row>
    <row r="21" spans="1:10" ht="60.75" customHeight="1">
      <c r="A21" s="217">
        <v>2</v>
      </c>
      <c r="B21" s="518" t="s">
        <v>520</v>
      </c>
      <c r="C21" s="505">
        <f>D21+G21</f>
        <v>515</v>
      </c>
      <c r="D21" s="514">
        <f>SUM(E21:F21)</f>
        <v>515</v>
      </c>
      <c r="E21" s="514"/>
      <c r="F21" s="514">
        <v>515</v>
      </c>
      <c r="G21" s="546"/>
      <c r="H21" s="546"/>
      <c r="I21" s="546"/>
      <c r="J21" s="177"/>
    </row>
    <row r="22" spans="1:10" ht="60.75" customHeight="1">
      <c r="A22" s="214" t="s">
        <v>19</v>
      </c>
      <c r="B22" s="517" t="s">
        <v>523</v>
      </c>
      <c r="C22" s="177">
        <f aca="true" t="shared" si="9" ref="C22:C27">D22+G22</f>
        <v>38</v>
      </c>
      <c r="D22" s="523">
        <f t="shared" si="6"/>
        <v>38</v>
      </c>
      <c r="E22" s="523"/>
      <c r="F22" s="523">
        <v>38</v>
      </c>
      <c r="G22" s="546">
        <f t="shared" si="7"/>
        <v>0</v>
      </c>
      <c r="H22" s="523"/>
      <c r="I22" s="523"/>
      <c r="J22" s="177" t="s">
        <v>628</v>
      </c>
    </row>
    <row r="23" spans="1:10" ht="51.75" customHeight="1">
      <c r="A23" s="214" t="s">
        <v>35</v>
      </c>
      <c r="B23" s="517" t="s">
        <v>525</v>
      </c>
      <c r="C23" s="177">
        <f t="shared" si="9"/>
        <v>27</v>
      </c>
      <c r="D23" s="523">
        <f t="shared" si="6"/>
        <v>27</v>
      </c>
      <c r="E23" s="523"/>
      <c r="F23" s="523">
        <v>27</v>
      </c>
      <c r="G23" s="546">
        <f t="shared" si="7"/>
        <v>0</v>
      </c>
      <c r="H23" s="523"/>
      <c r="I23" s="523"/>
      <c r="J23" s="177" t="s">
        <v>628</v>
      </c>
    </row>
    <row r="24" spans="1:10" ht="64.5" customHeight="1">
      <c r="A24" s="214" t="s">
        <v>36</v>
      </c>
      <c r="B24" s="508" t="s">
        <v>527</v>
      </c>
      <c r="C24" s="177">
        <f>D24+G24</f>
        <v>51</v>
      </c>
      <c r="D24" s="523">
        <f>SUM(E24:F24)</f>
        <v>51</v>
      </c>
      <c r="E24" s="177"/>
      <c r="F24" s="553">
        <v>51</v>
      </c>
      <c r="G24" s="546">
        <f t="shared" si="7"/>
        <v>0</v>
      </c>
      <c r="H24" s="177"/>
      <c r="I24" s="177"/>
      <c r="J24" s="177" t="s">
        <v>628</v>
      </c>
    </row>
    <row r="25" spans="1:10" ht="42.75" customHeight="1">
      <c r="A25" s="510">
        <v>1</v>
      </c>
      <c r="B25" s="511" t="s">
        <v>528</v>
      </c>
      <c r="C25" s="505">
        <f t="shared" si="9"/>
        <v>51</v>
      </c>
      <c r="D25" s="514">
        <f t="shared" si="6"/>
        <v>51</v>
      </c>
      <c r="E25" s="520"/>
      <c r="F25" s="520">
        <v>51</v>
      </c>
      <c r="G25" s="546">
        <f t="shared" si="7"/>
        <v>0</v>
      </c>
      <c r="H25" s="520"/>
      <c r="I25" s="520"/>
      <c r="J25" s="177"/>
    </row>
    <row r="26" spans="1:10" ht="69.75" customHeight="1">
      <c r="A26" s="214" t="s">
        <v>524</v>
      </c>
      <c r="B26" s="508" t="s">
        <v>552</v>
      </c>
      <c r="C26" s="177">
        <f t="shared" si="9"/>
        <v>17</v>
      </c>
      <c r="D26" s="523">
        <f>SUM(E26:F26)</f>
        <v>17</v>
      </c>
      <c r="E26" s="177">
        <f>SUM(E27:E28)</f>
        <v>0</v>
      </c>
      <c r="F26" s="177">
        <f>SUM(F27:F28)</f>
        <v>17</v>
      </c>
      <c r="G26" s="177">
        <f>SUM(G27:G28)</f>
        <v>0</v>
      </c>
      <c r="H26" s="177">
        <f>SUM(H27:H28)</f>
        <v>0</v>
      </c>
      <c r="I26" s="177">
        <f>SUM(I27:I28)</f>
        <v>0</v>
      </c>
      <c r="J26" s="177" t="s">
        <v>628</v>
      </c>
    </row>
    <row r="27" spans="1:10" ht="78.75" customHeight="1">
      <c r="A27" s="510">
        <v>1</v>
      </c>
      <c r="B27" s="522" t="s">
        <v>529</v>
      </c>
      <c r="C27" s="505">
        <f t="shared" si="9"/>
        <v>13</v>
      </c>
      <c r="D27" s="514">
        <f>SUM(E27:F27)</f>
        <v>13</v>
      </c>
      <c r="E27" s="505"/>
      <c r="F27" s="550">
        <v>13</v>
      </c>
      <c r="G27" s="546">
        <f>SUM(H27:I27)</f>
        <v>0</v>
      </c>
      <c r="H27" s="505"/>
      <c r="I27" s="505"/>
      <c r="J27" s="552"/>
    </row>
    <row r="28" spans="1:10" ht="42.75" customHeight="1">
      <c r="A28" s="510">
        <v>2</v>
      </c>
      <c r="B28" s="519" t="s">
        <v>531</v>
      </c>
      <c r="C28" s="505">
        <f>SUM(D28:D28)</f>
        <v>4</v>
      </c>
      <c r="D28" s="514">
        <f>SUM(E28:F28)</f>
        <v>4</v>
      </c>
      <c r="E28" s="520"/>
      <c r="F28" s="520">
        <v>4</v>
      </c>
      <c r="G28" s="546">
        <f>SUM(H28:I28)</f>
        <v>0</v>
      </c>
      <c r="H28" s="520"/>
      <c r="I28" s="520"/>
      <c r="J28" s="177"/>
    </row>
    <row r="31" spans="1:10" ht="22.5" customHeight="1">
      <c r="A31" s="759" t="s">
        <v>693</v>
      </c>
      <c r="B31" s="766"/>
      <c r="C31" s="766"/>
      <c r="D31" s="766"/>
      <c r="E31" s="766"/>
      <c r="F31" s="766"/>
      <c r="G31" s="766"/>
      <c r="H31" s="766"/>
      <c r="I31" s="766"/>
      <c r="J31" s="766"/>
    </row>
  </sheetData>
  <sheetProtection/>
  <mergeCells count="12">
    <mergeCell ref="A4:A7"/>
    <mergeCell ref="B4:B7"/>
    <mergeCell ref="C4:I4"/>
    <mergeCell ref="J4:J7"/>
    <mergeCell ref="A31:J31"/>
    <mergeCell ref="A1:J1"/>
    <mergeCell ref="B3:J3"/>
    <mergeCell ref="C5:C7"/>
    <mergeCell ref="D5:I5"/>
    <mergeCell ref="D6:F6"/>
    <mergeCell ref="G6:I6"/>
    <mergeCell ref="A2:J2"/>
  </mergeCells>
  <printOptions/>
  <pageMargins left="0.42" right="0.46" top="0.53" bottom="0.56" header="0.31496062992125984" footer="0.31496062992125984"/>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Q105"/>
  <sheetViews>
    <sheetView zoomScalePageLayoutView="0" workbookViewId="0" topLeftCell="A1">
      <pane xSplit="1" ySplit="6" topLeftCell="B7" activePane="bottomRight" state="frozen"/>
      <selection pane="topLeft" activeCell="A1" sqref="A1"/>
      <selection pane="topRight" activeCell="B1" sqref="B1"/>
      <selection pane="bottomLeft" activeCell="A9" sqref="A9"/>
      <selection pane="bottomRight" activeCell="L16" sqref="L16"/>
    </sheetView>
  </sheetViews>
  <sheetFormatPr defaultColWidth="9.00390625" defaultRowHeight="15.75"/>
  <cols>
    <col min="1" max="1" width="7.50390625" style="79" customWidth="1"/>
    <col min="2" max="2" width="25.00390625" style="4" customWidth="1"/>
    <col min="3" max="3" width="8.625" style="77" customWidth="1"/>
    <col min="4" max="4" width="8.125" style="77" customWidth="1"/>
    <col min="5" max="5" width="10.00390625" style="78" customWidth="1"/>
    <col min="6" max="9" width="7.125" style="79" customWidth="1"/>
    <col min="10" max="10" width="9.00390625" style="79" customWidth="1"/>
    <col min="11" max="16384" width="9.00390625" style="4" customWidth="1"/>
  </cols>
  <sheetData>
    <row r="1" spans="1:2" ht="15">
      <c r="A1" s="886" t="s">
        <v>135</v>
      </c>
      <c r="B1" s="886"/>
    </row>
    <row r="2" spans="1:10" ht="15">
      <c r="A2" s="720" t="s">
        <v>11</v>
      </c>
      <c r="B2" s="720"/>
      <c r="C2" s="720"/>
      <c r="D2" s="720"/>
      <c r="E2" s="720"/>
      <c r="F2" s="720"/>
      <c r="G2" s="720"/>
      <c r="H2" s="720"/>
      <c r="I2" s="720"/>
      <c r="J2" s="720"/>
    </row>
    <row r="3" spans="1:10" s="86" customFormat="1" ht="18">
      <c r="A3" s="709" t="s">
        <v>133</v>
      </c>
      <c r="B3" s="709"/>
      <c r="C3" s="709"/>
      <c r="D3" s="709"/>
      <c r="E3" s="709"/>
      <c r="F3" s="709"/>
      <c r="G3" s="709"/>
      <c r="H3" s="709"/>
      <c r="I3" s="709"/>
      <c r="J3" s="709"/>
    </row>
    <row r="5" spans="1:10" ht="15.75" customHeight="1">
      <c r="A5" s="885" t="s">
        <v>0</v>
      </c>
      <c r="B5" s="885" t="s">
        <v>10</v>
      </c>
      <c r="C5" s="2" t="s">
        <v>1</v>
      </c>
      <c r="D5" s="885" t="s">
        <v>2</v>
      </c>
      <c r="E5" s="885"/>
      <c r="F5" s="885" t="s">
        <v>3</v>
      </c>
      <c r="G5" s="885"/>
      <c r="H5" s="885"/>
      <c r="I5" s="885" t="s">
        <v>17</v>
      </c>
      <c r="J5" s="885" t="s">
        <v>18</v>
      </c>
    </row>
    <row r="6" spans="1:10" ht="45">
      <c r="A6" s="885"/>
      <c r="B6" s="885"/>
      <c r="C6" s="5" t="s">
        <v>4</v>
      </c>
      <c r="D6" s="5" t="s">
        <v>132</v>
      </c>
      <c r="E6" s="6" t="s">
        <v>5</v>
      </c>
      <c r="F6" s="2" t="s">
        <v>6</v>
      </c>
      <c r="G6" s="2" t="s">
        <v>7</v>
      </c>
      <c r="H6" s="2" t="s">
        <v>8</v>
      </c>
      <c r="I6" s="885"/>
      <c r="J6" s="885"/>
    </row>
    <row r="7" spans="1:10" s="1" customFormat="1" ht="19.5" customHeight="1">
      <c r="A7" s="17" t="s">
        <v>22</v>
      </c>
      <c r="B7" s="10" t="s">
        <v>20</v>
      </c>
      <c r="C7" s="11"/>
      <c r="D7" s="11"/>
      <c r="E7" s="12"/>
      <c r="F7" s="11"/>
      <c r="G7" s="11"/>
      <c r="H7" s="11"/>
      <c r="I7" s="11">
        <v>2</v>
      </c>
      <c r="J7" s="17"/>
    </row>
    <row r="8" spans="1:10" s="1" customFormat="1" ht="16.5">
      <c r="A8" s="17" t="s">
        <v>13</v>
      </c>
      <c r="B8" s="10" t="s">
        <v>21</v>
      </c>
      <c r="C8" s="11">
        <f>+C95+C10</f>
        <v>352</v>
      </c>
      <c r="D8" s="11">
        <f>+D9+D10</f>
        <v>23</v>
      </c>
      <c r="E8" s="12">
        <f>+D8*100/C8</f>
        <v>6.534090909090909</v>
      </c>
      <c r="F8" s="9"/>
      <c r="G8" s="9"/>
      <c r="H8" s="9"/>
      <c r="I8" s="9"/>
      <c r="J8" s="17" t="s">
        <v>13</v>
      </c>
    </row>
    <row r="9" spans="1:10" ht="16.5">
      <c r="A9" s="18">
        <v>4</v>
      </c>
      <c r="B9" s="19" t="s">
        <v>95</v>
      </c>
      <c r="C9" s="20">
        <v>117</v>
      </c>
      <c r="D9" s="21">
        <v>11</v>
      </c>
      <c r="E9" s="16">
        <f aca="true" t="shared" si="0" ref="E9:E71">+D9*100/C9</f>
        <v>9.401709401709402</v>
      </c>
      <c r="F9" s="18"/>
      <c r="G9" s="18"/>
      <c r="H9" s="18"/>
      <c r="I9" s="18"/>
      <c r="J9" s="18"/>
    </row>
    <row r="10" spans="1:10" ht="16.5">
      <c r="A10" s="18">
        <v>13</v>
      </c>
      <c r="B10" s="19" t="s">
        <v>96</v>
      </c>
      <c r="C10" s="21">
        <v>177</v>
      </c>
      <c r="D10" s="21">
        <v>12</v>
      </c>
      <c r="E10" s="16">
        <f t="shared" si="0"/>
        <v>6.779661016949152</v>
      </c>
      <c r="F10" s="18"/>
      <c r="G10" s="18"/>
      <c r="H10" s="18"/>
      <c r="I10" s="18"/>
      <c r="J10" s="18"/>
    </row>
    <row r="11" spans="1:10" ht="16.5">
      <c r="A11" s="9" t="s">
        <v>49</v>
      </c>
      <c r="B11" s="49" t="s">
        <v>25</v>
      </c>
      <c r="C11" s="11"/>
      <c r="D11" s="11"/>
      <c r="E11" s="12" t="e">
        <f t="shared" si="0"/>
        <v>#DIV/0!</v>
      </c>
      <c r="F11" s="9"/>
      <c r="G11" s="9"/>
      <c r="H11" s="9"/>
      <c r="I11" s="9"/>
      <c r="J11" s="9"/>
    </row>
    <row r="12" spans="1:10" ht="16.5">
      <c r="A12" s="9" t="s">
        <v>13</v>
      </c>
      <c r="B12" s="49" t="s">
        <v>26</v>
      </c>
      <c r="C12" s="54">
        <f>SUM(C13:C20)</f>
        <v>1116</v>
      </c>
      <c r="D12" s="54">
        <f>SUM(D13:D20)</f>
        <v>365</v>
      </c>
      <c r="E12" s="12">
        <f t="shared" si="0"/>
        <v>32.70609318996416</v>
      </c>
      <c r="F12" s="9"/>
      <c r="G12" s="9"/>
      <c r="H12" s="9"/>
      <c r="I12" s="9"/>
      <c r="J12" s="9"/>
    </row>
    <row r="13" spans="1:10" ht="16.5">
      <c r="A13" s="18">
        <v>5</v>
      </c>
      <c r="B13" s="19" t="s">
        <v>27</v>
      </c>
      <c r="C13" s="21">
        <v>128</v>
      </c>
      <c r="D13" s="21">
        <v>46</v>
      </c>
      <c r="E13" s="16">
        <f t="shared" si="0"/>
        <v>35.9375</v>
      </c>
      <c r="F13" s="18"/>
      <c r="G13" s="18"/>
      <c r="H13" s="18"/>
      <c r="I13" s="18"/>
      <c r="J13" s="17"/>
    </row>
    <row r="14" spans="1:10" ht="16.5">
      <c r="A14" s="18">
        <v>6</v>
      </c>
      <c r="B14" s="19" t="s">
        <v>28</v>
      </c>
      <c r="C14" s="21">
        <v>268</v>
      </c>
      <c r="D14" s="21">
        <v>50</v>
      </c>
      <c r="E14" s="16">
        <f t="shared" si="0"/>
        <v>18.65671641791045</v>
      </c>
      <c r="F14" s="57"/>
      <c r="G14" s="18"/>
      <c r="H14" s="18"/>
      <c r="I14" s="18"/>
      <c r="J14" s="17"/>
    </row>
    <row r="15" spans="1:10" ht="16.5">
      <c r="A15" s="22">
        <v>9</v>
      </c>
      <c r="B15" s="34" t="s">
        <v>29</v>
      </c>
      <c r="C15" s="35">
        <v>165</v>
      </c>
      <c r="D15" s="35">
        <v>42</v>
      </c>
      <c r="E15" s="16">
        <f t="shared" si="0"/>
        <v>25.454545454545453</v>
      </c>
      <c r="F15" s="69"/>
      <c r="G15" s="22"/>
      <c r="H15" s="35"/>
      <c r="I15" s="22"/>
      <c r="J15" s="38"/>
    </row>
    <row r="16" spans="1:10" ht="16.5">
      <c r="A16" s="22">
        <v>11</v>
      </c>
      <c r="B16" s="34" t="s">
        <v>30</v>
      </c>
      <c r="C16" s="35">
        <v>128</v>
      </c>
      <c r="D16" s="35">
        <v>42</v>
      </c>
      <c r="E16" s="16">
        <f t="shared" si="0"/>
        <v>32.8125</v>
      </c>
      <c r="F16" s="69"/>
      <c r="G16" s="22"/>
      <c r="H16" s="35"/>
      <c r="I16" s="22"/>
      <c r="J16" s="38"/>
    </row>
    <row r="17" spans="1:10" ht="16.5">
      <c r="A17" s="22">
        <v>12</v>
      </c>
      <c r="B17" s="34" t="s">
        <v>31</v>
      </c>
      <c r="C17" s="35">
        <v>107</v>
      </c>
      <c r="D17" s="35">
        <v>54</v>
      </c>
      <c r="E17" s="16">
        <f t="shared" si="0"/>
        <v>50.467289719626166</v>
      </c>
      <c r="F17" s="69"/>
      <c r="G17" s="22"/>
      <c r="H17" s="35"/>
      <c r="I17" s="22"/>
      <c r="J17" s="38"/>
    </row>
    <row r="18" spans="1:10" ht="16.5">
      <c r="A18" s="22">
        <v>13</v>
      </c>
      <c r="B18" s="34" t="s">
        <v>32</v>
      </c>
      <c r="C18" s="35">
        <v>150</v>
      </c>
      <c r="D18" s="35">
        <v>44</v>
      </c>
      <c r="E18" s="16">
        <f t="shared" si="0"/>
        <v>29.333333333333332</v>
      </c>
      <c r="F18" s="69"/>
      <c r="G18" s="22"/>
      <c r="H18" s="35"/>
      <c r="I18" s="22"/>
      <c r="J18" s="38"/>
    </row>
    <row r="19" spans="1:10" ht="16.5">
      <c r="A19" s="22">
        <v>14</v>
      </c>
      <c r="B19" s="34" t="s">
        <v>33</v>
      </c>
      <c r="C19" s="35">
        <v>90</v>
      </c>
      <c r="D19" s="35">
        <v>51</v>
      </c>
      <c r="E19" s="16">
        <f t="shared" si="0"/>
        <v>56.666666666666664</v>
      </c>
      <c r="F19" s="69"/>
      <c r="G19" s="22"/>
      <c r="H19" s="35"/>
      <c r="I19" s="22"/>
      <c r="J19" s="38"/>
    </row>
    <row r="20" spans="1:10" ht="16.5">
      <c r="A20" s="22">
        <v>15</v>
      </c>
      <c r="B20" s="34" t="s">
        <v>34</v>
      </c>
      <c r="C20" s="35">
        <v>80</v>
      </c>
      <c r="D20" s="35">
        <v>36</v>
      </c>
      <c r="E20" s="16">
        <f t="shared" si="0"/>
        <v>45</v>
      </c>
      <c r="F20" s="69"/>
      <c r="G20" s="22"/>
      <c r="H20" s="35"/>
      <c r="I20" s="22"/>
      <c r="J20" s="38"/>
    </row>
    <row r="21" spans="1:10" ht="16.5">
      <c r="A21" s="82" t="s">
        <v>43</v>
      </c>
      <c r="B21" s="83" t="s">
        <v>44</v>
      </c>
      <c r="C21" s="85">
        <f>SUM(C22:C26)</f>
        <v>461</v>
      </c>
      <c r="D21" s="85">
        <f>SUM(D22:D26)</f>
        <v>110</v>
      </c>
      <c r="E21" s="12">
        <f t="shared" si="0"/>
        <v>23.86117136659436</v>
      </c>
      <c r="F21" s="22"/>
      <c r="G21" s="22"/>
      <c r="H21" s="22"/>
      <c r="I21" s="38"/>
      <c r="J21" s="38"/>
    </row>
    <row r="22" spans="1:10" ht="16.5">
      <c r="A22" s="22">
        <v>1</v>
      </c>
      <c r="B22" s="34" t="s">
        <v>99</v>
      </c>
      <c r="C22" s="35">
        <v>65</v>
      </c>
      <c r="D22" s="35">
        <v>27</v>
      </c>
      <c r="E22" s="16">
        <f t="shared" si="0"/>
        <v>41.53846153846154</v>
      </c>
      <c r="F22" s="22"/>
      <c r="G22" s="22"/>
      <c r="H22" s="22"/>
      <c r="I22" s="37"/>
      <c r="J22" s="38"/>
    </row>
    <row r="23" spans="1:10" ht="16.5">
      <c r="A23" s="22">
        <v>2</v>
      </c>
      <c r="B23" s="34" t="s">
        <v>100</v>
      </c>
      <c r="C23" s="35">
        <v>103</v>
      </c>
      <c r="D23" s="35">
        <v>19</v>
      </c>
      <c r="E23" s="16">
        <f t="shared" si="0"/>
        <v>18.446601941747574</v>
      </c>
      <c r="F23" s="22"/>
      <c r="G23" s="22"/>
      <c r="H23" s="22"/>
      <c r="I23" s="37"/>
      <c r="J23" s="38"/>
    </row>
    <row r="24" spans="1:10" ht="16.5">
      <c r="A24" s="22">
        <v>3</v>
      </c>
      <c r="B24" s="34" t="s">
        <v>101</v>
      </c>
      <c r="C24" s="35">
        <v>135</v>
      </c>
      <c r="D24" s="35">
        <v>27</v>
      </c>
      <c r="E24" s="16">
        <f t="shared" si="0"/>
        <v>20</v>
      </c>
      <c r="F24" s="22"/>
      <c r="G24" s="22"/>
      <c r="H24" s="22"/>
      <c r="I24" s="37"/>
      <c r="J24" s="38"/>
    </row>
    <row r="25" spans="1:10" ht="16.5">
      <c r="A25" s="22">
        <v>4</v>
      </c>
      <c r="B25" s="34" t="s">
        <v>102</v>
      </c>
      <c r="C25" s="35">
        <v>81</v>
      </c>
      <c r="D25" s="35">
        <v>19</v>
      </c>
      <c r="E25" s="16">
        <f t="shared" si="0"/>
        <v>23.45679012345679</v>
      </c>
      <c r="F25" s="22"/>
      <c r="G25" s="22"/>
      <c r="H25" s="22"/>
      <c r="I25" s="37"/>
      <c r="J25" s="38"/>
    </row>
    <row r="26" spans="1:10" ht="16.5">
      <c r="A26" s="22">
        <v>5</v>
      </c>
      <c r="B26" s="34" t="s">
        <v>98</v>
      </c>
      <c r="C26" s="35">
        <v>77</v>
      </c>
      <c r="D26" s="35">
        <v>18</v>
      </c>
      <c r="E26" s="16">
        <f t="shared" si="0"/>
        <v>23.376623376623378</v>
      </c>
      <c r="F26" s="22"/>
      <c r="G26" s="22"/>
      <c r="H26" s="22"/>
      <c r="I26" s="37"/>
      <c r="J26" s="38"/>
    </row>
    <row r="27" spans="1:10" ht="16.5">
      <c r="A27" s="82" t="s">
        <v>51</v>
      </c>
      <c r="B27" s="83" t="s">
        <v>45</v>
      </c>
      <c r="C27" s="85">
        <f>SUM(C28:C30)</f>
        <v>738</v>
      </c>
      <c r="D27" s="85">
        <f>SUM(D28:D30)</f>
        <v>78</v>
      </c>
      <c r="E27" s="12">
        <f t="shared" si="0"/>
        <v>10.56910569105691</v>
      </c>
      <c r="F27" s="22"/>
      <c r="G27" s="22"/>
      <c r="H27" s="22"/>
      <c r="I27" s="38"/>
      <c r="J27" s="38"/>
    </row>
    <row r="28" spans="1:10" ht="16.5">
      <c r="A28" s="27">
        <v>1</v>
      </c>
      <c r="B28" s="84" t="s">
        <v>46</v>
      </c>
      <c r="C28" s="35">
        <v>188</v>
      </c>
      <c r="D28" s="35">
        <v>28</v>
      </c>
      <c r="E28" s="16">
        <f t="shared" si="0"/>
        <v>14.893617021276595</v>
      </c>
      <c r="F28" s="22"/>
      <c r="G28" s="22"/>
      <c r="H28" s="22"/>
      <c r="I28" s="22"/>
      <c r="J28" s="38"/>
    </row>
    <row r="29" spans="1:10" ht="16.5">
      <c r="A29" s="27">
        <v>2</v>
      </c>
      <c r="B29" s="84" t="s">
        <v>47</v>
      </c>
      <c r="C29" s="35">
        <v>461</v>
      </c>
      <c r="D29" s="35">
        <v>37</v>
      </c>
      <c r="E29" s="16">
        <f t="shared" si="0"/>
        <v>8.026030368763557</v>
      </c>
      <c r="F29" s="22"/>
      <c r="G29" s="22"/>
      <c r="H29" s="22"/>
      <c r="I29" s="22"/>
      <c r="J29" s="38"/>
    </row>
    <row r="30" spans="1:10" ht="16.5">
      <c r="A30" s="27">
        <v>3</v>
      </c>
      <c r="B30" s="84" t="s">
        <v>48</v>
      </c>
      <c r="C30" s="35">
        <v>89</v>
      </c>
      <c r="D30" s="35">
        <v>13</v>
      </c>
      <c r="E30" s="16">
        <f t="shared" si="0"/>
        <v>14.606741573033707</v>
      </c>
      <c r="F30" s="22"/>
      <c r="G30" s="22"/>
      <c r="H30" s="22"/>
      <c r="I30" s="22"/>
      <c r="J30" s="38"/>
    </row>
    <row r="31" spans="1:17" s="72" customFormat="1" ht="16.5">
      <c r="A31" s="39" t="s">
        <v>52</v>
      </c>
      <c r="B31" s="40" t="s">
        <v>53</v>
      </c>
      <c r="C31" s="41"/>
      <c r="D31" s="41"/>
      <c r="E31" s="12" t="e">
        <f t="shared" si="0"/>
        <v>#DIV/0!</v>
      </c>
      <c r="F31" s="39"/>
      <c r="G31" s="39"/>
      <c r="H31" s="39"/>
      <c r="I31" s="41"/>
      <c r="J31" s="39"/>
      <c r="K31" s="73"/>
      <c r="L31" s="73"/>
      <c r="M31" s="74"/>
      <c r="N31" s="73"/>
      <c r="O31" s="75"/>
      <c r="P31" s="73"/>
      <c r="Q31" s="76"/>
    </row>
    <row r="32" spans="1:10" s="94" customFormat="1" ht="16.5">
      <c r="A32" s="92" t="s">
        <v>14</v>
      </c>
      <c r="B32" s="93" t="s">
        <v>90</v>
      </c>
      <c r="C32" s="107">
        <f>SUM(C33:C38)</f>
        <v>841</v>
      </c>
      <c r="D32" s="107">
        <f>SUM(D33:D38)</f>
        <v>117</v>
      </c>
      <c r="E32" s="12">
        <f t="shared" si="0"/>
        <v>13.912009512485136</v>
      </c>
      <c r="F32" s="92"/>
      <c r="G32" s="92"/>
      <c r="H32" s="92"/>
      <c r="I32" s="92"/>
      <c r="J32" s="92"/>
    </row>
    <row r="33" spans="1:10" s="98" customFormat="1" ht="16.5">
      <c r="A33" s="95">
        <v>1</v>
      </c>
      <c r="B33" s="96" t="s">
        <v>103</v>
      </c>
      <c r="C33" s="108">
        <v>107</v>
      </c>
      <c r="D33" s="108">
        <v>3</v>
      </c>
      <c r="E33" s="16">
        <f t="shared" si="0"/>
        <v>2.803738317757009</v>
      </c>
      <c r="F33" s="95"/>
      <c r="G33" s="95"/>
      <c r="H33" s="95"/>
      <c r="I33" s="95"/>
      <c r="J33" s="95"/>
    </row>
    <row r="34" spans="1:10" s="98" customFormat="1" ht="16.5">
      <c r="A34" s="95">
        <v>2</v>
      </c>
      <c r="B34" s="96" t="s">
        <v>104</v>
      </c>
      <c r="C34" s="97">
        <v>285</v>
      </c>
      <c r="D34" s="97">
        <v>64</v>
      </c>
      <c r="E34" s="16">
        <f t="shared" si="0"/>
        <v>22.45614035087719</v>
      </c>
      <c r="F34" s="95"/>
      <c r="G34" s="95"/>
      <c r="H34" s="95"/>
      <c r="I34" s="95"/>
      <c r="J34" s="95"/>
    </row>
    <row r="35" spans="1:10" s="98" customFormat="1" ht="16.5">
      <c r="A35" s="95">
        <v>3</v>
      </c>
      <c r="B35" s="96" t="s">
        <v>105</v>
      </c>
      <c r="C35" s="97">
        <v>104</v>
      </c>
      <c r="D35" s="97">
        <v>13</v>
      </c>
      <c r="E35" s="16">
        <f t="shared" si="0"/>
        <v>12.5</v>
      </c>
      <c r="F35" s="95"/>
      <c r="G35" s="95"/>
      <c r="H35" s="95"/>
      <c r="I35" s="95"/>
      <c r="J35" s="95"/>
    </row>
    <row r="36" spans="1:10" s="98" customFormat="1" ht="16.5">
      <c r="A36" s="95">
        <v>4</v>
      </c>
      <c r="B36" s="96" t="s">
        <v>106</v>
      </c>
      <c r="C36" s="97">
        <v>123</v>
      </c>
      <c r="D36" s="97">
        <v>23</v>
      </c>
      <c r="E36" s="16">
        <f t="shared" si="0"/>
        <v>18.69918699186992</v>
      </c>
      <c r="F36" s="95"/>
      <c r="G36" s="95"/>
      <c r="H36" s="95"/>
      <c r="I36" s="95"/>
      <c r="J36" s="95"/>
    </row>
    <row r="37" spans="1:10" s="98" customFormat="1" ht="16.5">
      <c r="A37" s="95">
        <v>5</v>
      </c>
      <c r="B37" s="96" t="s">
        <v>172</v>
      </c>
      <c r="C37" s="97">
        <v>98</v>
      </c>
      <c r="D37" s="97">
        <v>5</v>
      </c>
      <c r="E37" s="16">
        <f t="shared" si="0"/>
        <v>5.1020408163265305</v>
      </c>
      <c r="F37" s="95"/>
      <c r="G37" s="95"/>
      <c r="H37" s="95"/>
      <c r="I37" s="95"/>
      <c r="J37" s="95"/>
    </row>
    <row r="38" spans="1:10" s="98" customFormat="1" ht="16.5">
      <c r="A38" s="95">
        <v>6</v>
      </c>
      <c r="B38" s="96" t="s">
        <v>171</v>
      </c>
      <c r="C38" s="97">
        <v>124</v>
      </c>
      <c r="D38" s="97">
        <v>9</v>
      </c>
      <c r="E38" s="16">
        <f t="shared" si="0"/>
        <v>7.258064516129032</v>
      </c>
      <c r="F38" s="95"/>
      <c r="G38" s="95"/>
      <c r="H38" s="95"/>
      <c r="I38" s="95"/>
      <c r="J38" s="95"/>
    </row>
    <row r="39" spans="1:10" s="1" customFormat="1" ht="16.5">
      <c r="A39" s="17" t="s">
        <v>37</v>
      </c>
      <c r="B39" s="8" t="s">
        <v>89</v>
      </c>
      <c r="C39" s="43">
        <f>+C40+C41</f>
        <v>257</v>
      </c>
      <c r="D39" s="43">
        <f>+D40+D41</f>
        <v>66</v>
      </c>
      <c r="E39" s="12">
        <f t="shared" si="0"/>
        <v>25.68093385214008</v>
      </c>
      <c r="F39" s="17"/>
      <c r="G39" s="17"/>
      <c r="H39" s="17"/>
      <c r="I39" s="17"/>
      <c r="J39" s="17"/>
    </row>
    <row r="40" spans="1:10" ht="16.5">
      <c r="A40" s="18">
        <v>2</v>
      </c>
      <c r="B40" s="34" t="s">
        <v>107</v>
      </c>
      <c r="C40" s="35">
        <v>127</v>
      </c>
      <c r="D40" s="35">
        <v>25</v>
      </c>
      <c r="E40" s="16">
        <f t="shared" si="0"/>
        <v>19.68503937007874</v>
      </c>
      <c r="F40" s="18"/>
      <c r="G40" s="22"/>
      <c r="H40" s="18"/>
      <c r="I40" s="18"/>
      <c r="J40" s="18"/>
    </row>
    <row r="41" spans="1:10" ht="16.5">
      <c r="A41" s="18">
        <v>3</v>
      </c>
      <c r="B41" s="34" t="s">
        <v>108</v>
      </c>
      <c r="C41" s="35">
        <v>130</v>
      </c>
      <c r="D41" s="35">
        <v>41</v>
      </c>
      <c r="E41" s="16">
        <f t="shared" si="0"/>
        <v>31.53846153846154</v>
      </c>
      <c r="F41" s="18"/>
      <c r="G41" s="18"/>
      <c r="H41" s="18"/>
      <c r="I41" s="18"/>
      <c r="J41" s="18"/>
    </row>
    <row r="42" spans="1:10" s="1" customFormat="1" ht="16.5">
      <c r="A42" s="17" t="s">
        <v>39</v>
      </c>
      <c r="B42" s="8" t="s">
        <v>92</v>
      </c>
      <c r="C42" s="43">
        <f>+C43</f>
        <v>226</v>
      </c>
      <c r="D42" s="43">
        <f>+D43</f>
        <v>33</v>
      </c>
      <c r="E42" s="12">
        <f t="shared" si="0"/>
        <v>14.601769911504425</v>
      </c>
      <c r="F42" s="17"/>
      <c r="G42" s="17"/>
      <c r="H42" s="17"/>
      <c r="I42" s="17"/>
      <c r="J42" s="17"/>
    </row>
    <row r="43" spans="1:10" ht="18" customHeight="1">
      <c r="A43" s="18">
        <v>12</v>
      </c>
      <c r="B43" s="23" t="s">
        <v>109</v>
      </c>
      <c r="C43" s="25">
        <v>226</v>
      </c>
      <c r="D43" s="24">
        <v>33</v>
      </c>
      <c r="E43" s="16">
        <f t="shared" si="0"/>
        <v>14.601769911504425</v>
      </c>
      <c r="F43" s="42"/>
      <c r="G43" s="42"/>
      <c r="H43" s="42"/>
      <c r="I43" s="42"/>
      <c r="J43" s="18"/>
    </row>
    <row r="44" spans="1:10" s="1" customFormat="1" ht="18" customHeight="1">
      <c r="A44" s="17" t="s">
        <v>40</v>
      </c>
      <c r="B44" s="8" t="s">
        <v>91</v>
      </c>
      <c r="C44" s="43">
        <f>+C45</f>
        <v>107</v>
      </c>
      <c r="D44" s="43">
        <f>+D45</f>
        <v>10</v>
      </c>
      <c r="E44" s="12">
        <f t="shared" si="0"/>
        <v>9.345794392523365</v>
      </c>
      <c r="F44" s="17"/>
      <c r="G44" s="17"/>
      <c r="H44" s="17"/>
      <c r="I44" s="17"/>
      <c r="J44" s="17"/>
    </row>
    <row r="45" spans="1:10" ht="16.5">
      <c r="A45" s="27">
        <v>1</v>
      </c>
      <c r="B45" s="28" t="s">
        <v>110</v>
      </c>
      <c r="C45" s="29">
        <v>107</v>
      </c>
      <c r="D45" s="30">
        <v>10</v>
      </c>
      <c r="E45" s="16">
        <f t="shared" si="0"/>
        <v>9.345794392523365</v>
      </c>
      <c r="F45" s="31"/>
      <c r="G45" s="31"/>
      <c r="H45" s="31"/>
      <c r="I45" s="32"/>
      <c r="J45" s="18"/>
    </row>
    <row r="46" spans="1:10" s="1" customFormat="1" ht="16.5">
      <c r="A46" s="17" t="s">
        <v>41</v>
      </c>
      <c r="B46" s="8" t="s">
        <v>94</v>
      </c>
      <c r="C46" s="43">
        <f>+C47</f>
        <v>46</v>
      </c>
      <c r="D46" s="43">
        <f>+D47</f>
        <v>9</v>
      </c>
      <c r="E46" s="12">
        <f t="shared" si="0"/>
        <v>19.565217391304348</v>
      </c>
      <c r="F46" s="17"/>
      <c r="G46" s="17"/>
      <c r="H46" s="17"/>
      <c r="I46" s="17"/>
      <c r="J46" s="17"/>
    </row>
    <row r="47" spans="1:10" ht="16.5">
      <c r="A47" s="42">
        <v>3</v>
      </c>
      <c r="B47" s="45" t="s">
        <v>111</v>
      </c>
      <c r="C47" s="25">
        <v>46</v>
      </c>
      <c r="D47" s="46">
        <v>9</v>
      </c>
      <c r="E47" s="16">
        <f t="shared" si="0"/>
        <v>19.565217391304348</v>
      </c>
      <c r="F47" s="42"/>
      <c r="G47" s="42"/>
      <c r="H47" s="42"/>
      <c r="I47" s="42"/>
      <c r="J47" s="18"/>
    </row>
    <row r="48" spans="1:10" s="1" customFormat="1" ht="18" customHeight="1">
      <c r="A48" s="17" t="s">
        <v>42</v>
      </c>
      <c r="B48" s="8" t="s">
        <v>93</v>
      </c>
      <c r="C48" s="43">
        <f>SUM(C49:C51)</f>
        <v>472</v>
      </c>
      <c r="D48" s="43">
        <f>SUM(D49:D51)</f>
        <v>46</v>
      </c>
      <c r="E48" s="12">
        <f t="shared" si="0"/>
        <v>9.745762711864407</v>
      </c>
      <c r="F48" s="17"/>
      <c r="G48" s="17"/>
      <c r="H48" s="17"/>
      <c r="I48" s="17"/>
      <c r="J48" s="17"/>
    </row>
    <row r="49" spans="1:10" ht="18" customHeight="1">
      <c r="A49" s="13">
        <v>6</v>
      </c>
      <c r="B49" s="14" t="s">
        <v>112</v>
      </c>
      <c r="C49" s="15">
        <v>125</v>
      </c>
      <c r="D49" s="15">
        <v>13</v>
      </c>
      <c r="E49" s="16">
        <f t="shared" si="0"/>
        <v>10.4</v>
      </c>
      <c r="F49" s="13"/>
      <c r="G49" s="13"/>
      <c r="H49" s="13"/>
      <c r="I49" s="13"/>
      <c r="J49" s="18"/>
    </row>
    <row r="50" spans="1:10" ht="18" customHeight="1">
      <c r="A50" s="13">
        <v>7</v>
      </c>
      <c r="B50" s="14" t="s">
        <v>113</v>
      </c>
      <c r="C50" s="15">
        <v>162</v>
      </c>
      <c r="D50" s="15">
        <v>14</v>
      </c>
      <c r="E50" s="16">
        <f t="shared" si="0"/>
        <v>8.641975308641975</v>
      </c>
      <c r="F50" s="13"/>
      <c r="G50" s="13"/>
      <c r="H50" s="13"/>
      <c r="I50" s="13"/>
      <c r="J50" s="18"/>
    </row>
    <row r="51" spans="1:10" ht="18" customHeight="1">
      <c r="A51" s="13">
        <v>8</v>
      </c>
      <c r="B51" s="14" t="s">
        <v>114</v>
      </c>
      <c r="C51" s="15">
        <v>185</v>
      </c>
      <c r="D51" s="15">
        <v>19</v>
      </c>
      <c r="E51" s="16">
        <f t="shared" si="0"/>
        <v>10.27027027027027</v>
      </c>
      <c r="F51" s="13"/>
      <c r="G51" s="13"/>
      <c r="H51" s="13"/>
      <c r="I51" s="13"/>
      <c r="J51" s="18"/>
    </row>
    <row r="52" spans="1:10" ht="16.5">
      <c r="A52" s="9" t="s">
        <v>83</v>
      </c>
      <c r="B52" s="48" t="s">
        <v>84</v>
      </c>
      <c r="C52" s="11"/>
      <c r="D52" s="11"/>
      <c r="E52" s="12" t="e">
        <f t="shared" si="0"/>
        <v>#DIV/0!</v>
      </c>
      <c r="F52" s="11"/>
      <c r="G52" s="11"/>
      <c r="H52" s="11"/>
      <c r="I52" s="11"/>
      <c r="J52" s="9"/>
    </row>
    <row r="53" spans="1:10" ht="16.5">
      <c r="A53" s="52" t="s">
        <v>19</v>
      </c>
      <c r="B53" s="56" t="s">
        <v>85</v>
      </c>
      <c r="C53" s="54">
        <f>SUM(C54:C56)</f>
        <v>489</v>
      </c>
      <c r="D53" s="54">
        <f>SUM(D54:D56)</f>
        <v>37</v>
      </c>
      <c r="E53" s="12">
        <f t="shared" si="0"/>
        <v>7.566462167689162</v>
      </c>
      <c r="F53" s="55"/>
      <c r="G53" s="55"/>
      <c r="H53" s="55"/>
      <c r="I53" s="55"/>
      <c r="J53" s="55"/>
    </row>
    <row r="54" spans="1:10" ht="16.5">
      <c r="A54" s="51">
        <v>3</v>
      </c>
      <c r="B54" s="58" t="s">
        <v>116</v>
      </c>
      <c r="C54" s="47">
        <v>175</v>
      </c>
      <c r="D54" s="47">
        <v>8</v>
      </c>
      <c r="E54" s="16">
        <f t="shared" si="0"/>
        <v>4.571428571428571</v>
      </c>
      <c r="F54" s="57"/>
      <c r="G54" s="57"/>
      <c r="H54" s="57"/>
      <c r="I54" s="57"/>
      <c r="J54" s="57"/>
    </row>
    <row r="55" spans="1:10" ht="16.5">
      <c r="A55" s="51">
        <v>4</v>
      </c>
      <c r="B55" s="58" t="s">
        <v>117</v>
      </c>
      <c r="C55" s="47">
        <v>176</v>
      </c>
      <c r="D55" s="47">
        <v>18</v>
      </c>
      <c r="E55" s="16">
        <f t="shared" si="0"/>
        <v>10.227272727272727</v>
      </c>
      <c r="F55" s="57"/>
      <c r="G55" s="57"/>
      <c r="H55" s="57"/>
      <c r="I55" s="57"/>
      <c r="J55" s="57"/>
    </row>
    <row r="56" spans="1:10" ht="16.5">
      <c r="A56" s="51">
        <v>5</v>
      </c>
      <c r="B56" s="58" t="s">
        <v>118</v>
      </c>
      <c r="C56" s="47">
        <v>138</v>
      </c>
      <c r="D56" s="47">
        <v>11</v>
      </c>
      <c r="E56" s="16">
        <f t="shared" si="0"/>
        <v>7.971014492753623</v>
      </c>
      <c r="F56" s="57"/>
      <c r="G56" s="57"/>
      <c r="H56" s="57"/>
      <c r="I56" s="57"/>
      <c r="J56" s="57"/>
    </row>
    <row r="57" spans="1:10" ht="16.5">
      <c r="A57" s="52" t="s">
        <v>35</v>
      </c>
      <c r="B57" s="59" t="s">
        <v>86</v>
      </c>
      <c r="C57" s="26">
        <f>SUM(C58:C62)</f>
        <v>1133</v>
      </c>
      <c r="D57" s="26">
        <f>SUM(D58:D62)</f>
        <v>163</v>
      </c>
      <c r="E57" s="12">
        <f t="shared" si="0"/>
        <v>14.386584289496911</v>
      </c>
      <c r="F57" s="17"/>
      <c r="G57" s="17"/>
      <c r="H57" s="17"/>
      <c r="I57" s="17"/>
      <c r="J57" s="17"/>
    </row>
    <row r="58" spans="1:10" ht="16.5">
      <c r="A58" s="51">
        <v>1</v>
      </c>
      <c r="B58" s="60" t="s">
        <v>119</v>
      </c>
      <c r="C58" s="21">
        <v>574</v>
      </c>
      <c r="D58" s="21">
        <v>66</v>
      </c>
      <c r="E58" s="16">
        <f t="shared" si="0"/>
        <v>11.498257839721255</v>
      </c>
      <c r="F58" s="18"/>
      <c r="G58" s="18"/>
      <c r="H58" s="18"/>
      <c r="I58" s="18"/>
      <c r="J58" s="18"/>
    </row>
    <row r="59" spans="1:10" ht="16.5">
      <c r="A59" s="51">
        <v>4</v>
      </c>
      <c r="B59" s="60" t="s">
        <v>115</v>
      </c>
      <c r="C59" s="21">
        <v>100</v>
      </c>
      <c r="D59" s="21">
        <v>19</v>
      </c>
      <c r="E59" s="16">
        <f t="shared" si="0"/>
        <v>19</v>
      </c>
      <c r="F59" s="57"/>
      <c r="G59" s="18"/>
      <c r="H59" s="18"/>
      <c r="I59" s="57"/>
      <c r="J59" s="18"/>
    </row>
    <row r="60" spans="1:10" ht="16.5">
      <c r="A60" s="51">
        <v>9</v>
      </c>
      <c r="B60" s="60" t="s">
        <v>120</v>
      </c>
      <c r="C60" s="21">
        <v>73</v>
      </c>
      <c r="D60" s="21">
        <v>19</v>
      </c>
      <c r="E60" s="16">
        <f t="shared" si="0"/>
        <v>26.027397260273972</v>
      </c>
      <c r="F60" s="57"/>
      <c r="G60" s="18"/>
      <c r="H60" s="18"/>
      <c r="I60" s="57"/>
      <c r="J60" s="18"/>
    </row>
    <row r="61" spans="1:10" ht="16.5">
      <c r="A61" s="51">
        <v>12</v>
      </c>
      <c r="B61" s="60" t="s">
        <v>121</v>
      </c>
      <c r="C61" s="21">
        <v>91</v>
      </c>
      <c r="D61" s="21">
        <v>19</v>
      </c>
      <c r="E61" s="16">
        <f t="shared" si="0"/>
        <v>20.87912087912088</v>
      </c>
      <c r="F61" s="57"/>
      <c r="G61" s="18"/>
      <c r="H61" s="18"/>
      <c r="I61" s="57"/>
      <c r="J61" s="18"/>
    </row>
    <row r="62" spans="1:10" ht="16.5">
      <c r="A62" s="51">
        <v>19</v>
      </c>
      <c r="B62" s="60" t="s">
        <v>122</v>
      </c>
      <c r="C62" s="21">
        <v>295</v>
      </c>
      <c r="D62" s="21">
        <v>40</v>
      </c>
      <c r="E62" s="16">
        <f t="shared" si="0"/>
        <v>13.559322033898304</v>
      </c>
      <c r="F62" s="57"/>
      <c r="G62" s="18"/>
      <c r="H62" s="18"/>
      <c r="I62" s="57"/>
      <c r="J62" s="18"/>
    </row>
    <row r="63" spans="1:10" ht="16.5">
      <c r="A63" s="52" t="s">
        <v>37</v>
      </c>
      <c r="B63" s="53" t="s">
        <v>88</v>
      </c>
      <c r="C63" s="26">
        <f>SUM(C64:C67)</f>
        <v>1030</v>
      </c>
      <c r="D63" s="26">
        <f>SUM(D64:D67)</f>
        <v>256</v>
      </c>
      <c r="E63" s="12">
        <f t="shared" si="0"/>
        <v>24.854368932038835</v>
      </c>
      <c r="F63" s="17"/>
      <c r="G63" s="17"/>
      <c r="H63" s="17"/>
      <c r="I63" s="17"/>
      <c r="J63" s="17"/>
    </row>
    <row r="64" spans="1:10" ht="16.5">
      <c r="A64" s="51">
        <v>1</v>
      </c>
      <c r="B64" s="61" t="s">
        <v>123</v>
      </c>
      <c r="C64" s="62">
        <v>336</v>
      </c>
      <c r="D64" s="63">
        <v>84</v>
      </c>
      <c r="E64" s="16">
        <f t="shared" si="0"/>
        <v>25</v>
      </c>
      <c r="F64" s="18"/>
      <c r="G64" s="17"/>
      <c r="H64" s="17"/>
      <c r="I64" s="18"/>
      <c r="J64" s="17"/>
    </row>
    <row r="65" spans="1:10" ht="16.5">
      <c r="A65" s="51">
        <v>7</v>
      </c>
      <c r="B65" s="61" t="s">
        <v>124</v>
      </c>
      <c r="C65" s="62">
        <v>230</v>
      </c>
      <c r="D65" s="63">
        <v>51</v>
      </c>
      <c r="E65" s="16">
        <f t="shared" si="0"/>
        <v>22.17391304347826</v>
      </c>
      <c r="F65" s="18"/>
      <c r="G65" s="17"/>
      <c r="H65" s="17"/>
      <c r="I65" s="18"/>
      <c r="J65" s="17"/>
    </row>
    <row r="66" spans="1:10" ht="16.5">
      <c r="A66" s="51">
        <v>8</v>
      </c>
      <c r="B66" s="61" t="s">
        <v>125</v>
      </c>
      <c r="C66" s="62">
        <v>286</v>
      </c>
      <c r="D66" s="63">
        <v>75</v>
      </c>
      <c r="E66" s="16">
        <f t="shared" si="0"/>
        <v>26.223776223776223</v>
      </c>
      <c r="F66" s="18"/>
      <c r="G66" s="18"/>
      <c r="H66" s="18"/>
      <c r="I66" s="18"/>
      <c r="J66" s="18"/>
    </row>
    <row r="67" spans="1:10" ht="16.5">
      <c r="A67" s="51">
        <v>15</v>
      </c>
      <c r="B67" s="61" t="s">
        <v>126</v>
      </c>
      <c r="C67" s="62">
        <v>178</v>
      </c>
      <c r="D67" s="63">
        <v>46</v>
      </c>
      <c r="E67" s="16">
        <f t="shared" si="0"/>
        <v>25.84269662921348</v>
      </c>
      <c r="F67" s="18"/>
      <c r="G67" s="18"/>
      <c r="H67" s="18"/>
      <c r="I67" s="18"/>
      <c r="J67" s="18"/>
    </row>
    <row r="68" spans="1:10" ht="16.5">
      <c r="A68" s="52" t="s">
        <v>39</v>
      </c>
      <c r="B68" s="49" t="s">
        <v>87</v>
      </c>
      <c r="C68" s="11">
        <f>SUM(C69:C71)</f>
        <v>754</v>
      </c>
      <c r="D68" s="11">
        <f>SUM(D69:D71)</f>
        <v>40</v>
      </c>
      <c r="E68" s="12">
        <f t="shared" si="0"/>
        <v>5.305039787798409</v>
      </c>
      <c r="F68" s="9"/>
      <c r="G68" s="9"/>
      <c r="H68" s="9"/>
      <c r="I68" s="9"/>
      <c r="J68" s="9"/>
    </row>
    <row r="69" spans="1:10" ht="16.5">
      <c r="A69" s="51">
        <v>1</v>
      </c>
      <c r="B69" s="44" t="s">
        <v>97</v>
      </c>
      <c r="C69" s="15">
        <v>284</v>
      </c>
      <c r="D69" s="15">
        <v>26</v>
      </c>
      <c r="E69" s="16">
        <f t="shared" si="0"/>
        <v>9.154929577464788</v>
      </c>
      <c r="F69" s="13"/>
      <c r="G69" s="13"/>
      <c r="H69" s="13"/>
      <c r="I69" s="13"/>
      <c r="J69" s="13"/>
    </row>
    <row r="70" spans="1:10" ht="16.5">
      <c r="A70" s="51">
        <v>2</v>
      </c>
      <c r="B70" s="44" t="s">
        <v>127</v>
      </c>
      <c r="C70" s="15">
        <v>240</v>
      </c>
      <c r="D70" s="15">
        <v>10</v>
      </c>
      <c r="E70" s="16">
        <f t="shared" si="0"/>
        <v>4.166666666666667</v>
      </c>
      <c r="F70" s="13"/>
      <c r="G70" s="13"/>
      <c r="H70" s="13"/>
      <c r="I70" s="13"/>
      <c r="J70" s="13"/>
    </row>
    <row r="71" spans="1:10" ht="16.5">
      <c r="A71" s="51">
        <v>3</v>
      </c>
      <c r="B71" s="44" t="s">
        <v>128</v>
      </c>
      <c r="C71" s="15">
        <v>230</v>
      </c>
      <c r="D71" s="15">
        <v>4</v>
      </c>
      <c r="E71" s="16">
        <f t="shared" si="0"/>
        <v>1.7391304347826086</v>
      </c>
      <c r="F71" s="13"/>
      <c r="G71" s="13"/>
      <c r="H71" s="13"/>
      <c r="I71" s="13"/>
      <c r="J71" s="13"/>
    </row>
    <row r="72" spans="1:10" ht="16.5">
      <c r="A72" s="17" t="s">
        <v>131</v>
      </c>
      <c r="B72" s="53" t="s">
        <v>59</v>
      </c>
      <c r="C72" s="26"/>
      <c r="D72" s="17"/>
      <c r="E72" s="12" t="e">
        <f>+D72*100/C72</f>
        <v>#DIV/0!</v>
      </c>
      <c r="F72" s="17"/>
      <c r="G72" s="17"/>
      <c r="H72" s="17"/>
      <c r="I72" s="17"/>
      <c r="J72" s="17"/>
    </row>
    <row r="73" spans="1:10" ht="16.5">
      <c r="A73" s="17" t="s">
        <v>15</v>
      </c>
      <c r="B73" s="53" t="s">
        <v>60</v>
      </c>
      <c r="C73" s="26">
        <f>SUM(C74:C78)</f>
        <v>737</v>
      </c>
      <c r="D73" s="26">
        <f>SUM(D74:D78)</f>
        <v>46</v>
      </c>
      <c r="E73" s="12">
        <f aca="true" t="shared" si="1" ref="E73:E97">+D73*100/C73</f>
        <v>6.241519674355495</v>
      </c>
      <c r="F73" s="17"/>
      <c r="G73" s="17"/>
      <c r="H73" s="17"/>
      <c r="I73" s="17"/>
      <c r="J73" s="17"/>
    </row>
    <row r="74" spans="1:10" ht="16.5">
      <c r="A74" s="18">
        <v>1</v>
      </c>
      <c r="B74" s="19" t="s">
        <v>129</v>
      </c>
      <c r="C74" s="18">
        <v>115</v>
      </c>
      <c r="D74" s="18">
        <v>6</v>
      </c>
      <c r="E74" s="16">
        <f t="shared" si="1"/>
        <v>5.217391304347826</v>
      </c>
      <c r="F74" s="18"/>
      <c r="G74" s="18"/>
      <c r="H74" s="18"/>
      <c r="I74" s="18"/>
      <c r="J74" s="18"/>
    </row>
    <row r="75" spans="1:10" ht="16.5">
      <c r="A75" s="18">
        <v>2</v>
      </c>
      <c r="B75" s="19" t="s">
        <v>61</v>
      </c>
      <c r="C75" s="18">
        <v>152</v>
      </c>
      <c r="D75" s="18">
        <v>8</v>
      </c>
      <c r="E75" s="16">
        <f t="shared" si="1"/>
        <v>5.2631578947368425</v>
      </c>
      <c r="F75" s="18"/>
      <c r="G75" s="18"/>
      <c r="H75" s="18"/>
      <c r="I75" s="18"/>
      <c r="J75" s="18"/>
    </row>
    <row r="76" spans="1:10" ht="16.5">
      <c r="A76" s="18">
        <v>3</v>
      </c>
      <c r="B76" s="19" t="s">
        <v>62</v>
      </c>
      <c r="C76" s="18">
        <v>112</v>
      </c>
      <c r="D76" s="18">
        <v>11</v>
      </c>
      <c r="E76" s="16">
        <f t="shared" si="1"/>
        <v>9.821428571428571</v>
      </c>
      <c r="F76" s="18"/>
      <c r="G76" s="18"/>
      <c r="H76" s="18"/>
      <c r="I76" s="18"/>
      <c r="J76" s="18"/>
    </row>
    <row r="77" spans="1:10" ht="16.5">
      <c r="A77" s="18">
        <v>4</v>
      </c>
      <c r="B77" s="19" t="s">
        <v>63</v>
      </c>
      <c r="C77" s="18">
        <v>140</v>
      </c>
      <c r="D77" s="18">
        <v>13</v>
      </c>
      <c r="E77" s="16">
        <f t="shared" si="1"/>
        <v>9.285714285714286</v>
      </c>
      <c r="F77" s="18"/>
      <c r="G77" s="18"/>
      <c r="H77" s="18"/>
      <c r="I77" s="18"/>
      <c r="J77" s="18"/>
    </row>
    <row r="78" spans="1:10" ht="16.5">
      <c r="A78" s="18">
        <v>5</v>
      </c>
      <c r="B78" s="19" t="s">
        <v>64</v>
      </c>
      <c r="C78" s="18">
        <v>218</v>
      </c>
      <c r="D78" s="18">
        <v>8</v>
      </c>
      <c r="E78" s="16">
        <f t="shared" si="1"/>
        <v>3.669724770642202</v>
      </c>
      <c r="F78" s="18"/>
      <c r="G78" s="18"/>
      <c r="H78" s="18"/>
      <c r="I78" s="18"/>
      <c r="J78" s="18"/>
    </row>
    <row r="79" spans="1:10" ht="16.5">
      <c r="A79" s="17" t="s">
        <v>12</v>
      </c>
      <c r="B79" s="8" t="s">
        <v>65</v>
      </c>
      <c r="C79" s="17">
        <f>SUM(C80:C85)</f>
        <v>610</v>
      </c>
      <c r="D79" s="17">
        <f>SUM(D80:D85)</f>
        <v>34</v>
      </c>
      <c r="E79" s="12">
        <f t="shared" si="1"/>
        <v>5.573770491803279</v>
      </c>
      <c r="F79" s="17"/>
      <c r="G79" s="17"/>
      <c r="H79" s="17"/>
      <c r="I79" s="17"/>
      <c r="J79" s="17"/>
    </row>
    <row r="80" spans="1:10" ht="16.5">
      <c r="A80" s="18">
        <v>1</v>
      </c>
      <c r="B80" s="19" t="s">
        <v>66</v>
      </c>
      <c r="C80" s="18">
        <v>102</v>
      </c>
      <c r="D80" s="18">
        <v>4</v>
      </c>
      <c r="E80" s="16">
        <f t="shared" si="1"/>
        <v>3.9215686274509802</v>
      </c>
      <c r="F80" s="18"/>
      <c r="G80" s="18"/>
      <c r="H80" s="18"/>
      <c r="I80" s="18"/>
      <c r="J80" s="18"/>
    </row>
    <row r="81" spans="1:10" ht="16.5">
      <c r="A81" s="18">
        <v>2</v>
      </c>
      <c r="B81" s="19" t="s">
        <v>67</v>
      </c>
      <c r="C81" s="18">
        <v>71</v>
      </c>
      <c r="D81" s="18">
        <v>7</v>
      </c>
      <c r="E81" s="16">
        <f t="shared" si="1"/>
        <v>9.859154929577464</v>
      </c>
      <c r="F81" s="18"/>
      <c r="G81" s="18"/>
      <c r="H81" s="18"/>
      <c r="I81" s="18"/>
      <c r="J81" s="18"/>
    </row>
    <row r="82" spans="1:10" ht="16.5">
      <c r="A82" s="18">
        <v>3</v>
      </c>
      <c r="B82" s="19" t="s">
        <v>68</v>
      </c>
      <c r="C82" s="18">
        <v>180</v>
      </c>
      <c r="D82" s="18">
        <v>5</v>
      </c>
      <c r="E82" s="16">
        <f t="shared" si="1"/>
        <v>2.7777777777777777</v>
      </c>
      <c r="F82" s="18"/>
      <c r="G82" s="18"/>
      <c r="H82" s="18"/>
      <c r="I82" s="18"/>
      <c r="J82" s="18"/>
    </row>
    <row r="83" spans="1:10" ht="16.5">
      <c r="A83" s="18">
        <v>4</v>
      </c>
      <c r="B83" s="19" t="s">
        <v>69</v>
      </c>
      <c r="C83" s="18">
        <v>73</v>
      </c>
      <c r="D83" s="18">
        <v>10</v>
      </c>
      <c r="E83" s="16">
        <f t="shared" si="1"/>
        <v>13.698630136986301</v>
      </c>
      <c r="F83" s="18"/>
      <c r="G83" s="18"/>
      <c r="H83" s="18"/>
      <c r="I83" s="18"/>
      <c r="J83" s="18"/>
    </row>
    <row r="84" spans="1:10" ht="16.5">
      <c r="A84" s="18">
        <v>5</v>
      </c>
      <c r="B84" s="19" t="s">
        <v>70</v>
      </c>
      <c r="C84" s="18">
        <v>82</v>
      </c>
      <c r="D84" s="18">
        <v>1</v>
      </c>
      <c r="E84" s="16">
        <f t="shared" si="1"/>
        <v>1.2195121951219512</v>
      </c>
      <c r="F84" s="18"/>
      <c r="G84" s="18"/>
      <c r="H84" s="18"/>
      <c r="I84" s="18"/>
      <c r="J84" s="18"/>
    </row>
    <row r="85" spans="1:10" ht="16.5">
      <c r="A85" s="18">
        <v>6</v>
      </c>
      <c r="B85" s="19" t="s">
        <v>71</v>
      </c>
      <c r="C85" s="18">
        <v>102</v>
      </c>
      <c r="D85" s="18">
        <v>7</v>
      </c>
      <c r="E85" s="16">
        <f t="shared" si="1"/>
        <v>6.862745098039215</v>
      </c>
      <c r="F85" s="18"/>
      <c r="G85" s="18"/>
      <c r="H85" s="18"/>
      <c r="I85" s="18"/>
      <c r="J85" s="18"/>
    </row>
    <row r="86" spans="1:10" ht="16.5">
      <c r="A86" s="17" t="s">
        <v>16</v>
      </c>
      <c r="B86" s="8" t="s">
        <v>72</v>
      </c>
      <c r="C86" s="17">
        <f>+C87+C88+C89</f>
        <v>397</v>
      </c>
      <c r="D86" s="17">
        <f>+D87+D88+D89</f>
        <v>33</v>
      </c>
      <c r="E86" s="12">
        <f t="shared" si="1"/>
        <v>8.312342569269521</v>
      </c>
      <c r="F86" s="17"/>
      <c r="G86" s="17"/>
      <c r="H86" s="17"/>
      <c r="I86" s="17"/>
      <c r="J86" s="17"/>
    </row>
    <row r="87" spans="1:10" ht="16.5">
      <c r="A87" s="18">
        <v>1</v>
      </c>
      <c r="B87" s="19" t="s">
        <v>73</v>
      </c>
      <c r="C87" s="18">
        <v>163</v>
      </c>
      <c r="D87" s="18">
        <v>14</v>
      </c>
      <c r="E87" s="16">
        <f t="shared" si="1"/>
        <v>8.588957055214724</v>
      </c>
      <c r="F87" s="18"/>
      <c r="G87" s="18"/>
      <c r="H87" s="18"/>
      <c r="I87" s="18"/>
      <c r="J87" s="18"/>
    </row>
    <row r="88" spans="1:10" ht="16.5">
      <c r="A88" s="18">
        <v>2</v>
      </c>
      <c r="B88" s="19" t="s">
        <v>74</v>
      </c>
      <c r="C88" s="18">
        <v>119</v>
      </c>
      <c r="D88" s="18">
        <v>11</v>
      </c>
      <c r="E88" s="16">
        <f t="shared" si="1"/>
        <v>9.243697478991596</v>
      </c>
      <c r="F88" s="18"/>
      <c r="G88" s="18"/>
      <c r="H88" s="18"/>
      <c r="I88" s="18"/>
      <c r="J88" s="18"/>
    </row>
    <row r="89" spans="1:10" ht="16.5">
      <c r="A89" s="18">
        <v>3</v>
      </c>
      <c r="B89" s="19" t="s">
        <v>75</v>
      </c>
      <c r="C89" s="18">
        <v>115</v>
      </c>
      <c r="D89" s="18">
        <v>8</v>
      </c>
      <c r="E89" s="16">
        <f t="shared" si="1"/>
        <v>6.956521739130435</v>
      </c>
      <c r="F89" s="18"/>
      <c r="G89" s="18"/>
      <c r="H89" s="18"/>
      <c r="I89" s="18"/>
      <c r="J89" s="18"/>
    </row>
    <row r="90" spans="1:10" ht="16.5">
      <c r="A90" s="17" t="s">
        <v>19</v>
      </c>
      <c r="B90" s="8" t="s">
        <v>76</v>
      </c>
      <c r="C90" s="17">
        <f>+C91</f>
        <v>103</v>
      </c>
      <c r="D90" s="17">
        <f>+D91</f>
        <v>13</v>
      </c>
      <c r="E90" s="12">
        <f t="shared" si="1"/>
        <v>12.62135922330097</v>
      </c>
      <c r="F90" s="17"/>
      <c r="G90" s="17"/>
      <c r="H90" s="17"/>
      <c r="I90" s="17"/>
      <c r="J90" s="17"/>
    </row>
    <row r="91" spans="1:10" ht="16.5">
      <c r="A91" s="18">
        <v>10</v>
      </c>
      <c r="B91" s="19" t="s">
        <v>77</v>
      </c>
      <c r="C91" s="18">
        <v>103</v>
      </c>
      <c r="D91" s="18">
        <v>13</v>
      </c>
      <c r="E91" s="16">
        <f t="shared" si="1"/>
        <v>12.62135922330097</v>
      </c>
      <c r="F91" s="18"/>
      <c r="G91" s="18"/>
      <c r="H91" s="18"/>
      <c r="I91" s="18"/>
      <c r="J91" s="18"/>
    </row>
    <row r="92" spans="1:10" ht="16.5">
      <c r="A92" s="17" t="s">
        <v>35</v>
      </c>
      <c r="B92" s="8" t="s">
        <v>78</v>
      </c>
      <c r="C92" s="17">
        <f>+C93+C94</f>
        <v>331</v>
      </c>
      <c r="D92" s="17">
        <f>+D93+D94</f>
        <v>17</v>
      </c>
      <c r="E92" s="12">
        <f t="shared" si="1"/>
        <v>5.13595166163142</v>
      </c>
      <c r="F92" s="17"/>
      <c r="G92" s="17"/>
      <c r="H92" s="17"/>
      <c r="I92" s="17"/>
      <c r="J92" s="17"/>
    </row>
    <row r="93" spans="1:10" ht="16.5">
      <c r="A93" s="18">
        <v>1</v>
      </c>
      <c r="B93" s="19" t="s">
        <v>50</v>
      </c>
      <c r="C93" s="18">
        <v>240</v>
      </c>
      <c r="D93" s="18">
        <v>13</v>
      </c>
      <c r="E93" s="16">
        <f t="shared" si="1"/>
        <v>5.416666666666667</v>
      </c>
      <c r="F93" s="18"/>
      <c r="G93" s="18"/>
      <c r="H93" s="18"/>
      <c r="I93" s="18"/>
      <c r="J93" s="18"/>
    </row>
    <row r="94" spans="1:10" ht="16.5">
      <c r="A94" s="18">
        <v>2</v>
      </c>
      <c r="B94" s="19" t="s">
        <v>79</v>
      </c>
      <c r="C94" s="18">
        <v>91</v>
      </c>
      <c r="D94" s="18">
        <v>4</v>
      </c>
      <c r="E94" s="16">
        <f t="shared" si="1"/>
        <v>4.395604395604396</v>
      </c>
      <c r="F94" s="18"/>
      <c r="G94" s="18"/>
      <c r="H94" s="18"/>
      <c r="I94" s="18"/>
      <c r="J94" s="18"/>
    </row>
    <row r="95" spans="1:16" ht="18.75" customHeight="1">
      <c r="A95" s="17" t="s">
        <v>36</v>
      </c>
      <c r="B95" s="8" t="s">
        <v>80</v>
      </c>
      <c r="C95" s="17">
        <f>+C96+C97</f>
        <v>175</v>
      </c>
      <c r="D95" s="17">
        <f>+D96+D97</f>
        <v>23</v>
      </c>
      <c r="E95" s="12">
        <f t="shared" si="1"/>
        <v>13.142857142857142</v>
      </c>
      <c r="F95" s="17"/>
      <c r="G95" s="17"/>
      <c r="H95" s="17"/>
      <c r="I95" s="17"/>
      <c r="J95" s="17"/>
      <c r="L95" s="4">
        <v>529</v>
      </c>
      <c r="N95" s="406">
        <v>2422</v>
      </c>
      <c r="O95" s="4">
        <v>335</v>
      </c>
      <c r="P95" s="406">
        <v>1887</v>
      </c>
    </row>
    <row r="96" spans="1:16" ht="18.75" customHeight="1">
      <c r="A96" s="18">
        <v>1</v>
      </c>
      <c r="B96" s="19" t="s">
        <v>81</v>
      </c>
      <c r="C96" s="18">
        <v>60</v>
      </c>
      <c r="D96" s="18">
        <v>10</v>
      </c>
      <c r="E96" s="16">
        <f t="shared" si="1"/>
        <v>16.666666666666668</v>
      </c>
      <c r="F96" s="18"/>
      <c r="G96" s="18"/>
      <c r="H96" s="18"/>
      <c r="I96" s="18"/>
      <c r="J96" s="18"/>
      <c r="L96" s="4">
        <v>2117</v>
      </c>
      <c r="N96" s="406">
        <v>4843</v>
      </c>
      <c r="O96" s="4">
        <v>1341</v>
      </c>
      <c r="P96" s="406">
        <v>7553</v>
      </c>
    </row>
    <row r="97" spans="1:16" ht="18.75" customHeight="1">
      <c r="A97" s="18">
        <v>2</v>
      </c>
      <c r="B97" s="19" t="s">
        <v>82</v>
      </c>
      <c r="C97" s="18">
        <v>115</v>
      </c>
      <c r="D97" s="18">
        <v>13</v>
      </c>
      <c r="E97" s="16">
        <f t="shared" si="1"/>
        <v>11.304347826086957</v>
      </c>
      <c r="F97" s="18"/>
      <c r="G97" s="18"/>
      <c r="H97" s="18"/>
      <c r="I97" s="18"/>
      <c r="J97" s="18"/>
      <c r="L97" s="4">
        <v>2117</v>
      </c>
      <c r="N97" s="406">
        <v>4843</v>
      </c>
      <c r="O97" s="4">
        <v>1341</v>
      </c>
      <c r="P97" s="406">
        <v>7553</v>
      </c>
    </row>
    <row r="98" spans="1:16" s="1" customFormat="1" ht="24" customHeight="1">
      <c r="A98" s="798" t="s">
        <v>130</v>
      </c>
      <c r="B98" s="798"/>
      <c r="C98" s="87"/>
      <c r="D98" s="87"/>
      <c r="E98" s="87"/>
      <c r="F98" s="87"/>
      <c r="G98" s="87"/>
      <c r="H98" s="87"/>
      <c r="I98" s="87"/>
      <c r="J98" s="87"/>
      <c r="L98" s="1">
        <v>529</v>
      </c>
      <c r="N98" s="406">
        <v>1346</v>
      </c>
      <c r="O98" s="1">
        <v>336</v>
      </c>
      <c r="P98" s="406">
        <v>1890</v>
      </c>
    </row>
    <row r="100" spans="12:17" ht="15">
      <c r="L100" s="4">
        <f>SUM(L95:L99)</f>
        <v>5292</v>
      </c>
      <c r="N100" s="4">
        <f>SUM(N95:N99)</f>
        <v>13454</v>
      </c>
      <c r="O100" s="406">
        <f>SUM(O95:O99)</f>
        <v>3353</v>
      </c>
      <c r="P100" s="4">
        <f>SUM(P95:P99)</f>
        <v>18883</v>
      </c>
      <c r="Q100" s="4">
        <f>SUM(L100:P100)</f>
        <v>40982</v>
      </c>
    </row>
    <row r="102" spans="2:6" ht="15">
      <c r="B102" s="78">
        <v>6114</v>
      </c>
      <c r="C102" s="77">
        <f>B102*0.18</f>
        <v>1100.52</v>
      </c>
      <c r="D102" s="77">
        <f>B102*0.36</f>
        <v>2201.04</v>
      </c>
      <c r="E102" s="78">
        <f>B102*0.36</f>
        <v>2201.04</v>
      </c>
      <c r="F102" s="79">
        <f>B102*0.18</f>
        <v>1100.52</v>
      </c>
    </row>
    <row r="103" spans="2:13" ht="15">
      <c r="B103" s="78">
        <v>8961</v>
      </c>
      <c r="C103" s="77">
        <f>B103*0.18</f>
        <v>1612.98</v>
      </c>
      <c r="D103" s="77">
        <f>B103*0.36</f>
        <v>3225.96</v>
      </c>
      <c r="E103" s="78">
        <f>B103*0.36</f>
        <v>3225.96</v>
      </c>
      <c r="F103" s="79">
        <f>B103*0.18</f>
        <v>1612.98</v>
      </c>
      <c r="J103" s="79">
        <f>L100*0.55</f>
        <v>2910.6000000000004</v>
      </c>
      <c r="M103" s="4">
        <f>P100*0.8</f>
        <v>15106.400000000001</v>
      </c>
    </row>
    <row r="104" spans="10:13" ht="15">
      <c r="J104" s="79">
        <f>L100*0.45</f>
        <v>2381.4</v>
      </c>
      <c r="M104" s="4">
        <f>P100*0.2</f>
        <v>3776.6000000000004</v>
      </c>
    </row>
    <row r="105" spans="10:13" ht="15">
      <c r="J105" s="411">
        <f>SUM(J103:J104)</f>
        <v>5292</v>
      </c>
      <c r="M105" s="406">
        <f>SUM(M103:M104)</f>
        <v>18883</v>
      </c>
    </row>
  </sheetData>
  <sheetProtection/>
  <mergeCells count="10">
    <mergeCell ref="A98:B98"/>
    <mergeCell ref="B5:B6"/>
    <mergeCell ref="I5:I6"/>
    <mergeCell ref="A3:J3"/>
    <mergeCell ref="A1:B1"/>
    <mergeCell ref="A2:J2"/>
    <mergeCell ref="D5:E5"/>
    <mergeCell ref="F5:H5"/>
    <mergeCell ref="J5:J6"/>
    <mergeCell ref="A5:A6"/>
  </mergeCells>
  <printOptions horizontalCentered="1"/>
  <pageMargins left="0.196850393700787" right="0.236220472440945" top="0.590551181102362" bottom="0.393700787401575" header="0.261811024" footer="0.511811023622047"/>
  <pageSetup horizontalDpi="600" verticalDpi="600" orientation="landscape" paperSize="9" r:id="rId1"/>
  <headerFooter differentFirst="1" alignWithMargins="0">
    <oddHeader>&amp;C&amp;P</oddHeader>
  </headerFooter>
</worksheet>
</file>

<file path=xl/worksheets/sheet28.xml><?xml version="1.0" encoding="utf-8"?>
<worksheet xmlns="http://schemas.openxmlformats.org/spreadsheetml/2006/main" xmlns:r="http://schemas.openxmlformats.org/officeDocument/2006/relationships">
  <dimension ref="A1:L71"/>
  <sheetViews>
    <sheetView zoomScale="70" zoomScaleNormal="70" zoomScalePageLayoutView="0" workbookViewId="0" topLeftCell="A1">
      <selection activeCell="S8" sqref="S8"/>
    </sheetView>
  </sheetViews>
  <sheetFormatPr defaultColWidth="9.00390625" defaultRowHeight="15.75"/>
  <cols>
    <col min="1" max="1" width="5.00390625" style="678" customWidth="1"/>
    <col min="2" max="2" width="26.125" style="678" customWidth="1"/>
    <col min="3" max="3" width="9.875" style="678" customWidth="1"/>
    <col min="4" max="4" width="8.625" style="678" customWidth="1"/>
    <col min="5" max="5" width="8.75390625" style="678" customWidth="1"/>
    <col min="6" max="6" width="7.25390625" style="678" customWidth="1"/>
    <col min="7" max="7" width="8.125" style="678" customWidth="1"/>
    <col min="8" max="8" width="9.00390625" style="678" customWidth="1"/>
    <col min="9" max="9" width="13.25390625" style="678" customWidth="1"/>
    <col min="10" max="16384" width="9.00390625" style="678" customWidth="1"/>
  </cols>
  <sheetData>
    <row r="1" spans="1:9" ht="27" customHeight="1">
      <c r="A1" s="679"/>
      <c r="G1" s="888" t="s">
        <v>726</v>
      </c>
      <c r="H1" s="888"/>
      <c r="I1" s="888"/>
    </row>
    <row r="2" spans="1:9" ht="17.25" customHeight="1">
      <c r="A2" s="890" t="s">
        <v>853</v>
      </c>
      <c r="B2" s="890"/>
      <c r="C2" s="890"/>
      <c r="D2" s="890"/>
      <c r="E2" s="890"/>
      <c r="F2" s="890"/>
      <c r="G2" s="890"/>
      <c r="H2" s="890"/>
      <c r="I2" s="890"/>
    </row>
    <row r="3" spans="1:9" ht="19.5" customHeight="1">
      <c r="A3" s="890" t="s">
        <v>723</v>
      </c>
      <c r="B3" s="890"/>
      <c r="C3" s="890"/>
      <c r="D3" s="890"/>
      <c r="E3" s="890"/>
      <c r="F3" s="890"/>
      <c r="G3" s="890"/>
      <c r="H3" s="890"/>
      <c r="I3" s="890"/>
    </row>
    <row r="4" spans="1:9" ht="17.25" customHeight="1">
      <c r="A4" s="890" t="s">
        <v>724</v>
      </c>
      <c r="B4" s="890"/>
      <c r="C4" s="890"/>
      <c r="D4" s="890"/>
      <c r="E4" s="890"/>
      <c r="F4" s="890"/>
      <c r="G4" s="890"/>
      <c r="H4" s="890"/>
      <c r="I4" s="890"/>
    </row>
    <row r="5" spans="1:9" ht="25.5" customHeight="1">
      <c r="A5" s="891" t="str">
        <f>'TH KH von 2022'!A3:X3</f>
        <v>(Kèm theo Kế hoạch  số:        /KH-UBND  ngày        /7/2022 của UBND tỉnh Bắc Giang)</v>
      </c>
      <c r="B5" s="890"/>
      <c r="C5" s="890"/>
      <c r="D5" s="890"/>
      <c r="E5" s="890"/>
      <c r="F5" s="890"/>
      <c r="G5" s="890"/>
      <c r="H5" s="890"/>
      <c r="I5" s="890"/>
    </row>
    <row r="6" spans="7:9" ht="15" customHeight="1">
      <c r="G6" s="894" t="s">
        <v>532</v>
      </c>
      <c r="H6" s="894"/>
      <c r="I6" s="894"/>
    </row>
    <row r="7" spans="1:9" ht="27.75" customHeight="1">
      <c r="A7" s="837" t="s">
        <v>549</v>
      </c>
      <c r="B7" s="837" t="s">
        <v>594</v>
      </c>
      <c r="C7" s="889" t="s">
        <v>609</v>
      </c>
      <c r="D7" s="837" t="s">
        <v>490</v>
      </c>
      <c r="E7" s="837"/>
      <c r="F7" s="837"/>
      <c r="G7" s="837"/>
      <c r="H7" s="837"/>
      <c r="I7" s="837"/>
    </row>
    <row r="8" spans="1:9" ht="107.25" customHeight="1">
      <c r="A8" s="837"/>
      <c r="B8" s="837"/>
      <c r="C8" s="889"/>
      <c r="D8" s="844" t="s">
        <v>610</v>
      </c>
      <c r="E8" s="844"/>
      <c r="F8" s="844"/>
      <c r="G8" s="844" t="s">
        <v>730</v>
      </c>
      <c r="H8" s="844"/>
      <c r="I8" s="844"/>
    </row>
    <row r="9" spans="1:9" ht="36.75" customHeight="1">
      <c r="A9" s="837"/>
      <c r="B9" s="837"/>
      <c r="C9" s="889"/>
      <c r="D9" s="892" t="s">
        <v>447</v>
      </c>
      <c r="E9" s="895" t="s">
        <v>728</v>
      </c>
      <c r="F9" s="896"/>
      <c r="G9" s="892" t="s">
        <v>447</v>
      </c>
      <c r="H9" s="889" t="s">
        <v>728</v>
      </c>
      <c r="I9" s="889"/>
    </row>
    <row r="10" spans="1:9" ht="44.25" customHeight="1">
      <c r="A10" s="837"/>
      <c r="B10" s="837"/>
      <c r="C10" s="889"/>
      <c r="D10" s="893"/>
      <c r="E10" s="557" t="s">
        <v>721</v>
      </c>
      <c r="F10" s="557" t="s">
        <v>718</v>
      </c>
      <c r="G10" s="893"/>
      <c r="H10" s="557" t="s">
        <v>721</v>
      </c>
      <c r="I10" s="557" t="s">
        <v>864</v>
      </c>
    </row>
    <row r="11" spans="1:9" s="680" customFormat="1" ht="30" customHeight="1">
      <c r="A11" s="623"/>
      <c r="B11" s="450" t="s">
        <v>854</v>
      </c>
      <c r="C11" s="553">
        <f aca="true" t="shared" si="0" ref="C11:I11">C12+C14+C33+C49+C58</f>
        <v>73882</v>
      </c>
      <c r="D11" s="553">
        <f t="shared" si="0"/>
        <v>63900</v>
      </c>
      <c r="E11" s="553">
        <f t="shared" si="0"/>
        <v>63900</v>
      </c>
      <c r="F11" s="553">
        <f t="shared" si="0"/>
        <v>0</v>
      </c>
      <c r="G11" s="553">
        <f t="shared" si="0"/>
        <v>9982</v>
      </c>
      <c r="H11" s="553">
        <f t="shared" si="0"/>
        <v>0</v>
      </c>
      <c r="I11" s="553">
        <f t="shared" si="0"/>
        <v>9982</v>
      </c>
    </row>
    <row r="12" spans="1:9" s="679" customFormat="1" ht="27" customHeight="1">
      <c r="A12" s="681" t="str">
        <f>'DA4 xã'!A7</f>
        <v>I</v>
      </c>
      <c r="B12" s="682" t="str">
        <f>'DA4 xã'!B7</f>
        <v>HUYỆN LẠNG GIANG</v>
      </c>
      <c r="C12" s="553">
        <f>D12+G12</f>
        <v>565</v>
      </c>
      <c r="D12" s="553">
        <f>E12</f>
        <v>484</v>
      </c>
      <c r="E12" s="553">
        <f>E13</f>
        <v>484</v>
      </c>
      <c r="F12" s="553"/>
      <c r="G12" s="553">
        <f>I12</f>
        <v>81</v>
      </c>
      <c r="H12" s="553"/>
      <c r="I12" s="676">
        <f>I13</f>
        <v>81</v>
      </c>
    </row>
    <row r="13" spans="1:12" ht="24.75" customHeight="1">
      <c r="A13" s="683">
        <f>'DA4 xã'!A8</f>
        <v>1</v>
      </c>
      <c r="B13" s="684" t="str">
        <f>'DA4 xã'!B8</f>
        <v>Xã Hương Sơn</v>
      </c>
      <c r="C13" s="550">
        <f aca="true" t="shared" si="1" ref="C13:C65">D13+G13</f>
        <v>565</v>
      </c>
      <c r="D13" s="550">
        <f aca="true" t="shared" si="2" ref="D13:D65">E13</f>
        <v>484</v>
      </c>
      <c r="E13" s="550">
        <f>'DA4 xã'!I8</f>
        <v>484</v>
      </c>
      <c r="F13" s="550"/>
      <c r="G13" s="550">
        <f aca="true" t="shared" si="3" ref="G13:G65">I13</f>
        <v>81</v>
      </c>
      <c r="H13" s="550"/>
      <c r="I13" s="677">
        <v>81</v>
      </c>
      <c r="L13" s="679"/>
    </row>
    <row r="14" spans="1:9" s="679" customFormat="1" ht="24.75" customHeight="1">
      <c r="A14" s="681" t="str">
        <f>'DA4 xã'!A9</f>
        <v>II</v>
      </c>
      <c r="B14" s="682" t="str">
        <f>'DA4 xã'!B9</f>
        <v>HUYỆN SƠN ĐỘNG</v>
      </c>
      <c r="C14" s="553">
        <f t="shared" si="1"/>
        <v>30717</v>
      </c>
      <c r="D14" s="553">
        <f t="shared" si="2"/>
        <v>26131</v>
      </c>
      <c r="E14" s="553">
        <f>SUM(E15:E32)</f>
        <v>26131</v>
      </c>
      <c r="F14" s="553"/>
      <c r="G14" s="553">
        <f t="shared" si="3"/>
        <v>4586</v>
      </c>
      <c r="H14" s="553"/>
      <c r="I14" s="676">
        <f>SUM(I15:I32)</f>
        <v>4586</v>
      </c>
    </row>
    <row r="15" spans="1:9" ht="24.75" customHeight="1">
      <c r="A15" s="683">
        <f>'DA4 xã'!A10</f>
        <v>1</v>
      </c>
      <c r="B15" s="684" t="str">
        <f>'DA4 xã'!B10</f>
        <v>Thị trấn An Châu</v>
      </c>
      <c r="C15" s="550">
        <f t="shared" si="1"/>
        <v>1087</v>
      </c>
      <c r="D15" s="550">
        <f t="shared" si="2"/>
        <v>912</v>
      </c>
      <c r="E15" s="550">
        <f>'DA4 xã'!I10</f>
        <v>912</v>
      </c>
      <c r="F15" s="550"/>
      <c r="G15" s="550">
        <f t="shared" si="3"/>
        <v>175</v>
      </c>
      <c r="H15" s="550"/>
      <c r="I15" s="677">
        <v>175</v>
      </c>
    </row>
    <row r="16" spans="1:9" ht="24.75" customHeight="1">
      <c r="A16" s="683">
        <f>'DA4 xã'!A11</f>
        <v>2</v>
      </c>
      <c r="B16" s="684" t="str">
        <f>'DA4 xã'!B11</f>
        <v>Xã Long Sơn</v>
      </c>
      <c r="C16" s="550">
        <f t="shared" si="1"/>
        <v>774</v>
      </c>
      <c r="D16" s="550">
        <f t="shared" si="2"/>
        <v>652</v>
      </c>
      <c r="E16" s="550">
        <f>'DA4 xã'!I11</f>
        <v>652</v>
      </c>
      <c r="F16" s="550"/>
      <c r="G16" s="550">
        <f t="shared" si="3"/>
        <v>122</v>
      </c>
      <c r="H16" s="550"/>
      <c r="I16" s="677">
        <v>122</v>
      </c>
    </row>
    <row r="17" spans="1:9" ht="24.75" customHeight="1">
      <c r="A17" s="683">
        <f>'DA4 xã'!A12</f>
        <v>3</v>
      </c>
      <c r="B17" s="684" t="str">
        <f>'DA4 xã'!B12</f>
        <v>Xã Tuấn Đạo</v>
      </c>
      <c r="C17" s="550">
        <f t="shared" si="1"/>
        <v>1087</v>
      </c>
      <c r="D17" s="550">
        <f t="shared" si="2"/>
        <v>912</v>
      </c>
      <c r="E17" s="550">
        <f>'DA4 xã'!I12</f>
        <v>912</v>
      </c>
      <c r="F17" s="550"/>
      <c r="G17" s="550">
        <f t="shared" si="3"/>
        <v>175</v>
      </c>
      <c r="H17" s="550"/>
      <c r="I17" s="677">
        <v>175</v>
      </c>
    </row>
    <row r="18" spans="1:9" ht="24.75" customHeight="1">
      <c r="A18" s="683">
        <f>'DA4 xã'!A13</f>
        <v>4</v>
      </c>
      <c r="B18" s="684" t="str">
        <f>'DA4 xã'!B13</f>
        <v>TT.Tây Yên Tử</v>
      </c>
      <c r="C18" s="550">
        <f t="shared" si="1"/>
        <v>1760</v>
      </c>
      <c r="D18" s="550">
        <f t="shared" si="2"/>
        <v>1504</v>
      </c>
      <c r="E18" s="550">
        <f>'DA4 xã'!I13</f>
        <v>1504</v>
      </c>
      <c r="F18" s="550"/>
      <c r="G18" s="550">
        <f t="shared" si="3"/>
        <v>256</v>
      </c>
      <c r="H18" s="550"/>
      <c r="I18" s="677">
        <v>256</v>
      </c>
    </row>
    <row r="19" spans="1:9" ht="24.75" customHeight="1">
      <c r="A19" s="683">
        <f>'DA4 xã'!A14</f>
        <v>5</v>
      </c>
      <c r="B19" s="684" t="str">
        <f>'DA4 xã'!B14</f>
        <v>Xã Dương Hưu</v>
      </c>
      <c r="C19" s="550">
        <f t="shared" si="1"/>
        <v>2501</v>
      </c>
      <c r="D19" s="550">
        <f t="shared" si="2"/>
        <v>2250</v>
      </c>
      <c r="E19" s="550">
        <f>'DA4 xã'!I14</f>
        <v>2250</v>
      </c>
      <c r="F19" s="550"/>
      <c r="G19" s="550">
        <f t="shared" si="3"/>
        <v>251</v>
      </c>
      <c r="H19" s="550"/>
      <c r="I19" s="677">
        <v>251</v>
      </c>
    </row>
    <row r="20" spans="1:9" ht="24.75" customHeight="1">
      <c r="A20" s="683">
        <f>'DA4 xã'!A15</f>
        <v>6</v>
      </c>
      <c r="B20" s="684" t="str">
        <f>'DA4 xã'!B15</f>
        <v>Xã Hữu Sản</v>
      </c>
      <c r="C20" s="550">
        <f t="shared" si="1"/>
        <v>1784</v>
      </c>
      <c r="D20" s="550">
        <f t="shared" si="2"/>
        <v>1515</v>
      </c>
      <c r="E20" s="550">
        <f>'DA4 xã'!I15</f>
        <v>1515</v>
      </c>
      <c r="F20" s="550"/>
      <c r="G20" s="550">
        <f t="shared" si="3"/>
        <v>269</v>
      </c>
      <c r="H20" s="550"/>
      <c r="I20" s="677">
        <v>269</v>
      </c>
    </row>
    <row r="21" spans="1:9" ht="24.75" customHeight="1">
      <c r="A21" s="683">
        <f>'DA4 xã'!A16</f>
        <v>7</v>
      </c>
      <c r="B21" s="684" t="str">
        <f>'DA4 xã'!B16</f>
        <v>Xã An Lạc</v>
      </c>
      <c r="C21" s="550">
        <f t="shared" si="1"/>
        <v>1850</v>
      </c>
      <c r="D21" s="550">
        <f t="shared" si="2"/>
        <v>1579</v>
      </c>
      <c r="E21" s="550">
        <f>'DA4 xã'!I16</f>
        <v>1579</v>
      </c>
      <c r="F21" s="550"/>
      <c r="G21" s="550">
        <f t="shared" si="3"/>
        <v>271</v>
      </c>
      <c r="H21" s="550"/>
      <c r="I21" s="677">
        <v>271</v>
      </c>
    </row>
    <row r="22" spans="1:9" ht="24.75" customHeight="1">
      <c r="A22" s="683">
        <f>'DA4 xã'!A17</f>
        <v>8</v>
      </c>
      <c r="B22" s="684" t="str">
        <f>'DA4 xã'!B17</f>
        <v>Xã Vân Sơn</v>
      </c>
      <c r="C22" s="550">
        <f t="shared" si="1"/>
        <v>1768</v>
      </c>
      <c r="D22" s="550">
        <f t="shared" si="2"/>
        <v>1503</v>
      </c>
      <c r="E22" s="550">
        <f>'DA4 xã'!I17</f>
        <v>1503</v>
      </c>
      <c r="F22" s="550"/>
      <c r="G22" s="550">
        <f t="shared" si="3"/>
        <v>265</v>
      </c>
      <c r="H22" s="550"/>
      <c r="I22" s="677">
        <v>265</v>
      </c>
    </row>
    <row r="23" spans="1:9" ht="24.75" customHeight="1">
      <c r="A23" s="683">
        <f>'DA4 xã'!A18</f>
        <v>9</v>
      </c>
      <c r="B23" s="684" t="str">
        <f>'DA4 xã'!B18</f>
        <v>Xã Lệ Viễn</v>
      </c>
      <c r="C23" s="550">
        <f t="shared" si="1"/>
        <v>1783</v>
      </c>
      <c r="D23" s="550">
        <f t="shared" si="2"/>
        <v>1521</v>
      </c>
      <c r="E23" s="550">
        <f>'DA4 xã'!I18</f>
        <v>1521</v>
      </c>
      <c r="F23" s="550"/>
      <c r="G23" s="550">
        <f t="shared" si="3"/>
        <v>262</v>
      </c>
      <c r="H23" s="550"/>
      <c r="I23" s="677">
        <v>262</v>
      </c>
    </row>
    <row r="24" spans="1:9" ht="24.75" customHeight="1">
      <c r="A24" s="683">
        <f>'DA4 xã'!A19</f>
        <v>10</v>
      </c>
      <c r="B24" s="684" t="str">
        <f>'DA4 xã'!B19</f>
        <v>Xã Vĩnh An</v>
      </c>
      <c r="C24" s="550">
        <f t="shared" si="1"/>
        <v>1809</v>
      </c>
      <c r="D24" s="550">
        <f t="shared" si="2"/>
        <v>1548</v>
      </c>
      <c r="E24" s="550">
        <f>'DA4 xã'!I19</f>
        <v>1548</v>
      </c>
      <c r="F24" s="550"/>
      <c r="G24" s="550">
        <f t="shared" si="3"/>
        <v>261</v>
      </c>
      <c r="H24" s="550"/>
      <c r="I24" s="677">
        <v>261</v>
      </c>
    </row>
    <row r="25" spans="1:9" ht="24.75" customHeight="1">
      <c r="A25" s="683">
        <f>'DA4 xã'!A20</f>
        <v>11</v>
      </c>
      <c r="B25" s="684" t="str">
        <f>'DA4 xã'!B20</f>
        <v>Xã An Bá</v>
      </c>
      <c r="C25" s="550">
        <f t="shared" si="1"/>
        <v>1779</v>
      </c>
      <c r="D25" s="550">
        <f t="shared" si="2"/>
        <v>1518</v>
      </c>
      <c r="E25" s="550">
        <f>'DA4 xã'!I20</f>
        <v>1518</v>
      </c>
      <c r="F25" s="550"/>
      <c r="G25" s="550">
        <f t="shared" si="3"/>
        <v>261</v>
      </c>
      <c r="H25" s="550"/>
      <c r="I25" s="677">
        <v>261</v>
      </c>
    </row>
    <row r="26" spans="1:9" ht="24.75" customHeight="1">
      <c r="A26" s="683">
        <f>'DA4 xã'!A21</f>
        <v>12</v>
      </c>
      <c r="B26" s="684" t="str">
        <f>'DA4 xã'!B21</f>
        <v>Xã Yên Định</v>
      </c>
      <c r="C26" s="550">
        <f t="shared" si="1"/>
        <v>1788</v>
      </c>
      <c r="D26" s="550">
        <f t="shared" si="2"/>
        <v>1525</v>
      </c>
      <c r="E26" s="550">
        <f>'DA4 xã'!I21</f>
        <v>1525</v>
      </c>
      <c r="F26" s="550"/>
      <c r="G26" s="550">
        <f t="shared" si="3"/>
        <v>263</v>
      </c>
      <c r="H26" s="550"/>
      <c r="I26" s="677">
        <v>263</v>
      </c>
    </row>
    <row r="27" spans="1:9" ht="24.75" customHeight="1">
      <c r="A27" s="683">
        <f>'DA4 xã'!A22</f>
        <v>13</v>
      </c>
      <c r="B27" s="684" t="str">
        <f>'DA4 xã'!B22</f>
        <v>Xã Cẩm Đàn</v>
      </c>
      <c r="C27" s="550">
        <f t="shared" si="1"/>
        <v>2599</v>
      </c>
      <c r="D27" s="550">
        <f t="shared" si="2"/>
        <v>2323</v>
      </c>
      <c r="E27" s="550">
        <f>'DA4 xã'!I22</f>
        <v>2323</v>
      </c>
      <c r="F27" s="550"/>
      <c r="G27" s="550">
        <f t="shared" si="3"/>
        <v>276</v>
      </c>
      <c r="H27" s="550"/>
      <c r="I27" s="677">
        <v>276</v>
      </c>
    </row>
    <row r="28" spans="1:9" ht="24.75" customHeight="1">
      <c r="A28" s="683">
        <f>'DA4 xã'!A23</f>
        <v>14</v>
      </c>
      <c r="B28" s="684" t="str">
        <f>'DA4 xã'!B23</f>
        <v>Xã Thanh Luận</v>
      </c>
      <c r="C28" s="550">
        <f t="shared" si="1"/>
        <v>1772</v>
      </c>
      <c r="D28" s="550">
        <f t="shared" si="2"/>
        <v>1506</v>
      </c>
      <c r="E28" s="550">
        <f>'DA4 xã'!I23</f>
        <v>1506</v>
      </c>
      <c r="F28" s="550"/>
      <c r="G28" s="550">
        <f t="shared" si="3"/>
        <v>266</v>
      </c>
      <c r="H28" s="550"/>
      <c r="I28" s="677">
        <v>266</v>
      </c>
    </row>
    <row r="29" spans="1:9" ht="24.75" customHeight="1">
      <c r="A29" s="683">
        <f>'DA4 xã'!A24</f>
        <v>15</v>
      </c>
      <c r="B29" s="684" t="str">
        <f>'DA4 xã'!B24</f>
        <v>Xã Đại Sơn </v>
      </c>
      <c r="C29" s="550">
        <f t="shared" si="1"/>
        <v>2540</v>
      </c>
      <c r="D29" s="550">
        <f t="shared" si="2"/>
        <v>2279</v>
      </c>
      <c r="E29" s="550">
        <f>'DA4 xã'!I24</f>
        <v>2279</v>
      </c>
      <c r="F29" s="550"/>
      <c r="G29" s="550">
        <f t="shared" si="3"/>
        <v>261</v>
      </c>
      <c r="H29" s="550"/>
      <c r="I29" s="677">
        <v>261</v>
      </c>
    </row>
    <row r="30" spans="1:9" ht="24.75" customHeight="1">
      <c r="A30" s="683">
        <f>'DA4 xã'!A25</f>
        <v>16</v>
      </c>
      <c r="B30" s="684" t="str">
        <f>'DA4 xã'!B25</f>
        <v>Xã Phúc Sơn</v>
      </c>
      <c r="C30" s="550">
        <f t="shared" si="1"/>
        <v>1833</v>
      </c>
      <c r="D30" s="550">
        <f t="shared" si="2"/>
        <v>1559</v>
      </c>
      <c r="E30" s="550">
        <f>'DA4 xã'!I25</f>
        <v>1559</v>
      </c>
      <c r="F30" s="550"/>
      <c r="G30" s="550">
        <f t="shared" si="3"/>
        <v>274</v>
      </c>
      <c r="H30" s="550"/>
      <c r="I30" s="677">
        <v>274</v>
      </c>
    </row>
    <row r="31" spans="1:9" ht="24.75" customHeight="1">
      <c r="A31" s="683">
        <f>'DA4 xã'!A26</f>
        <v>17</v>
      </c>
      <c r="B31" s="684" t="str">
        <f>'DA4 xã'!B26</f>
        <v>Xã Giáo Liêm</v>
      </c>
      <c r="C31" s="550">
        <f t="shared" si="1"/>
        <v>1798</v>
      </c>
      <c r="D31" s="550">
        <f t="shared" si="2"/>
        <v>1525</v>
      </c>
      <c r="E31" s="550">
        <f>'DA4 xã'!I26</f>
        <v>1525</v>
      </c>
      <c r="F31" s="550"/>
      <c r="G31" s="550">
        <f t="shared" si="3"/>
        <v>273</v>
      </c>
      <c r="H31" s="550"/>
      <c r="I31" s="677">
        <v>273</v>
      </c>
    </row>
    <row r="32" spans="1:9" ht="24.75" customHeight="1">
      <c r="A32" s="683">
        <v>18</v>
      </c>
      <c r="B32" s="684" t="s">
        <v>190</v>
      </c>
      <c r="C32" s="550">
        <f t="shared" si="1"/>
        <v>405</v>
      </c>
      <c r="D32" s="550">
        <f t="shared" si="2"/>
        <v>0</v>
      </c>
      <c r="E32" s="550"/>
      <c r="F32" s="550"/>
      <c r="G32" s="550">
        <f t="shared" si="3"/>
        <v>405</v>
      </c>
      <c r="H32" s="550"/>
      <c r="I32" s="677">
        <v>405</v>
      </c>
    </row>
    <row r="33" spans="1:9" s="679" customFormat="1" ht="24.75" customHeight="1">
      <c r="A33" s="681" t="str">
        <f>'DA4 xã'!A27</f>
        <v>III</v>
      </c>
      <c r="B33" s="682" t="str">
        <f>'DA4 xã'!B27</f>
        <v> HUYỆN LỤC NGẠN</v>
      </c>
      <c r="C33" s="553">
        <f t="shared" si="1"/>
        <v>21375</v>
      </c>
      <c r="D33" s="553">
        <f t="shared" si="2"/>
        <v>18598</v>
      </c>
      <c r="E33" s="553">
        <f>SUM(E34:E48)</f>
        <v>18598</v>
      </c>
      <c r="F33" s="553"/>
      <c r="G33" s="553">
        <f t="shared" si="3"/>
        <v>2777</v>
      </c>
      <c r="H33" s="553"/>
      <c r="I33" s="676">
        <f>SUM(I34:I48)</f>
        <v>2777</v>
      </c>
    </row>
    <row r="34" spans="1:9" ht="24.75" customHeight="1">
      <c r="A34" s="683">
        <f>'DA4 xã'!A28</f>
        <v>1</v>
      </c>
      <c r="B34" s="684" t="str">
        <f>'DA4 xã'!B28</f>
        <v>Xã Sa Lý</v>
      </c>
      <c r="C34" s="550">
        <f t="shared" si="1"/>
        <v>1710</v>
      </c>
      <c r="D34" s="550">
        <f t="shared" si="2"/>
        <v>1460</v>
      </c>
      <c r="E34" s="550">
        <f>'DA4 xã'!I28</f>
        <v>1460</v>
      </c>
      <c r="F34" s="550"/>
      <c r="G34" s="550">
        <f t="shared" si="3"/>
        <v>250</v>
      </c>
      <c r="H34" s="550"/>
      <c r="I34" s="677">
        <v>250</v>
      </c>
    </row>
    <row r="35" spans="1:9" ht="24.75" customHeight="1">
      <c r="A35" s="683">
        <f>'DA4 xã'!A29</f>
        <v>2</v>
      </c>
      <c r="B35" s="684" t="str">
        <f>'DA4 xã'!B29</f>
        <v>Xã Phong Minh</v>
      </c>
      <c r="C35" s="550">
        <f t="shared" si="1"/>
        <v>1730</v>
      </c>
      <c r="D35" s="550">
        <f t="shared" si="2"/>
        <v>1474</v>
      </c>
      <c r="E35" s="550">
        <f>'DA4 xã'!I29</f>
        <v>1474</v>
      </c>
      <c r="F35" s="550"/>
      <c r="G35" s="550">
        <f t="shared" si="3"/>
        <v>256</v>
      </c>
      <c r="H35" s="550"/>
      <c r="I35" s="677">
        <v>256</v>
      </c>
    </row>
    <row r="36" spans="1:9" ht="24.75" customHeight="1">
      <c r="A36" s="683">
        <f>'DA4 xã'!A30</f>
        <v>3</v>
      </c>
      <c r="B36" s="684" t="str">
        <f>'DA4 xã'!B30</f>
        <v>Xã Phong Vân</v>
      </c>
      <c r="C36" s="550">
        <f t="shared" si="1"/>
        <v>1768</v>
      </c>
      <c r="D36" s="550">
        <f t="shared" si="2"/>
        <v>1511</v>
      </c>
      <c r="E36" s="550">
        <f>'DA4 xã'!I30</f>
        <v>1511</v>
      </c>
      <c r="F36" s="550"/>
      <c r="G36" s="550">
        <f t="shared" si="3"/>
        <v>257</v>
      </c>
      <c r="H36" s="550"/>
      <c r="I36" s="677">
        <v>257</v>
      </c>
    </row>
    <row r="37" spans="1:9" ht="24.75" customHeight="1">
      <c r="A37" s="683">
        <f>'DA4 xã'!A31</f>
        <v>4</v>
      </c>
      <c r="B37" s="684" t="str">
        <f>'DA4 xã'!B31</f>
        <v>Xã Tân Sơn </v>
      </c>
      <c r="C37" s="550">
        <f t="shared" si="1"/>
        <v>3508</v>
      </c>
      <c r="D37" s="550">
        <f t="shared" si="2"/>
        <v>3268</v>
      </c>
      <c r="E37" s="550">
        <f>'DA4 xã'!I31</f>
        <v>3268</v>
      </c>
      <c r="F37" s="550"/>
      <c r="G37" s="550">
        <f t="shared" si="3"/>
        <v>240</v>
      </c>
      <c r="H37" s="550"/>
      <c r="I37" s="677">
        <v>240</v>
      </c>
    </row>
    <row r="38" spans="1:9" ht="24.75" customHeight="1">
      <c r="A38" s="683">
        <f>'DA4 xã'!A32</f>
        <v>5</v>
      </c>
      <c r="B38" s="684" t="str">
        <f>'DA4 xã'!B32</f>
        <v>Xã Cấm Sơn</v>
      </c>
      <c r="C38" s="550">
        <f t="shared" si="1"/>
        <v>2463</v>
      </c>
      <c r="D38" s="550">
        <f t="shared" si="2"/>
        <v>2222</v>
      </c>
      <c r="E38" s="550">
        <f>'DA4 xã'!I32</f>
        <v>2222</v>
      </c>
      <c r="F38" s="550"/>
      <c r="G38" s="550">
        <f t="shared" si="3"/>
        <v>241</v>
      </c>
      <c r="H38" s="550"/>
      <c r="I38" s="677">
        <v>241</v>
      </c>
    </row>
    <row r="39" spans="1:9" ht="24.75" customHeight="1">
      <c r="A39" s="683">
        <f>'DA4 xã'!A33</f>
        <v>6</v>
      </c>
      <c r="B39" s="684" t="str">
        <f>'DA4 xã'!B33</f>
        <v>Xã Hộ Đáp</v>
      </c>
      <c r="C39" s="550">
        <f t="shared" si="1"/>
        <v>1736</v>
      </c>
      <c r="D39" s="550">
        <f t="shared" si="2"/>
        <v>1486</v>
      </c>
      <c r="E39" s="550">
        <f>'DA4 xã'!I33</f>
        <v>1486</v>
      </c>
      <c r="F39" s="550"/>
      <c r="G39" s="550">
        <f t="shared" si="3"/>
        <v>250</v>
      </c>
      <c r="H39" s="550"/>
      <c r="I39" s="677">
        <v>250</v>
      </c>
    </row>
    <row r="40" spans="1:9" ht="24.75" customHeight="1">
      <c r="A40" s="683">
        <f>'DA4 xã'!A34</f>
        <v>7</v>
      </c>
      <c r="B40" s="684" t="str">
        <f>'DA4 xã'!B34</f>
        <v>Xã Sơn Hải</v>
      </c>
      <c r="C40" s="550">
        <f t="shared" si="1"/>
        <v>1731</v>
      </c>
      <c r="D40" s="550">
        <f t="shared" si="2"/>
        <v>1475</v>
      </c>
      <c r="E40" s="550">
        <f>'DA4 xã'!I34</f>
        <v>1475</v>
      </c>
      <c r="F40" s="550"/>
      <c r="G40" s="550">
        <f t="shared" si="3"/>
        <v>256</v>
      </c>
      <c r="H40" s="550"/>
      <c r="I40" s="677">
        <v>256</v>
      </c>
    </row>
    <row r="41" spans="1:9" ht="24.75" customHeight="1">
      <c r="A41" s="683">
        <f>'DA4 xã'!A35</f>
        <v>8</v>
      </c>
      <c r="B41" s="684" t="str">
        <f>'DA4 xã'!B35</f>
        <v>Xã Phú Nhuận</v>
      </c>
      <c r="C41" s="550">
        <f t="shared" si="1"/>
        <v>1804</v>
      </c>
      <c r="D41" s="550">
        <f t="shared" si="2"/>
        <v>1538</v>
      </c>
      <c r="E41" s="550">
        <f>'DA4 xã'!I35</f>
        <v>1538</v>
      </c>
      <c r="F41" s="550"/>
      <c r="G41" s="550">
        <f t="shared" si="3"/>
        <v>266</v>
      </c>
      <c r="H41" s="550"/>
      <c r="I41" s="677">
        <v>266</v>
      </c>
    </row>
    <row r="42" spans="1:9" ht="24.75" customHeight="1">
      <c r="A42" s="683">
        <f>'DA4 xã'!A36</f>
        <v>9</v>
      </c>
      <c r="B42" s="684" t="str">
        <f>'DA4 xã'!B36</f>
        <v>Xã Đèo Gia </v>
      </c>
      <c r="C42" s="550">
        <f t="shared" si="1"/>
        <v>1775</v>
      </c>
      <c r="D42" s="550">
        <f t="shared" si="2"/>
        <v>1515</v>
      </c>
      <c r="E42" s="550">
        <f>'DA4 xã'!I36</f>
        <v>1515</v>
      </c>
      <c r="F42" s="550"/>
      <c r="G42" s="550">
        <f t="shared" si="3"/>
        <v>260</v>
      </c>
      <c r="H42" s="550"/>
      <c r="I42" s="677">
        <v>260</v>
      </c>
    </row>
    <row r="43" spans="1:9" ht="24.75" customHeight="1">
      <c r="A43" s="683">
        <f>'DA4 xã'!A37</f>
        <v>10</v>
      </c>
      <c r="B43" s="684" t="str">
        <f>'DA4 xã'!B37</f>
        <v>Xã Tân Lập</v>
      </c>
      <c r="C43" s="550">
        <f t="shared" si="1"/>
        <v>1087</v>
      </c>
      <c r="D43" s="550">
        <f t="shared" si="2"/>
        <v>912</v>
      </c>
      <c r="E43" s="550">
        <f>'DA4 xã'!I37</f>
        <v>912</v>
      </c>
      <c r="F43" s="550"/>
      <c r="G43" s="550">
        <f t="shared" si="3"/>
        <v>175</v>
      </c>
      <c r="H43" s="550"/>
      <c r="I43" s="677">
        <v>175</v>
      </c>
    </row>
    <row r="44" spans="1:9" ht="24.75" customHeight="1">
      <c r="A44" s="683">
        <f>'DA4 xã'!A38</f>
        <v>11</v>
      </c>
      <c r="B44" s="684" t="str">
        <f>'DA4 xã'!B38</f>
        <v>Xã Kim Sơn </v>
      </c>
      <c r="C44" s="550">
        <f t="shared" si="1"/>
        <v>515</v>
      </c>
      <c r="D44" s="550">
        <f t="shared" si="2"/>
        <v>434</v>
      </c>
      <c r="E44" s="550">
        <f>'DA4 xã'!I38</f>
        <v>434</v>
      </c>
      <c r="F44" s="550"/>
      <c r="G44" s="550">
        <f t="shared" si="3"/>
        <v>81</v>
      </c>
      <c r="H44" s="550"/>
      <c r="I44" s="677">
        <v>81</v>
      </c>
    </row>
    <row r="45" spans="1:9" ht="24.75" customHeight="1">
      <c r="A45" s="683">
        <f>'DA4 xã'!A39</f>
        <v>12</v>
      </c>
      <c r="B45" s="684" t="str">
        <f>'DA4 xã'!B39</f>
        <v>Xã Thanh Hải</v>
      </c>
      <c r="C45" s="550">
        <f t="shared" si="1"/>
        <v>258</v>
      </c>
      <c r="D45" s="550">
        <f t="shared" si="2"/>
        <v>217</v>
      </c>
      <c r="E45" s="550">
        <f>'DA4 xã'!I39</f>
        <v>217</v>
      </c>
      <c r="F45" s="550"/>
      <c r="G45" s="550">
        <f t="shared" si="3"/>
        <v>41</v>
      </c>
      <c r="H45" s="550"/>
      <c r="I45" s="677">
        <v>41</v>
      </c>
    </row>
    <row r="46" spans="1:9" ht="24.75" customHeight="1">
      <c r="A46" s="683">
        <f>'DA4 xã'!A40</f>
        <v>13</v>
      </c>
      <c r="B46" s="684" t="str">
        <f>'DA4 xã'!B40</f>
        <v>Xã Biên Sơn</v>
      </c>
      <c r="C46" s="550">
        <f t="shared" si="1"/>
        <v>258</v>
      </c>
      <c r="D46" s="550">
        <f t="shared" si="2"/>
        <v>217</v>
      </c>
      <c r="E46" s="550">
        <f>'DA4 xã'!I40</f>
        <v>217</v>
      </c>
      <c r="F46" s="550"/>
      <c r="G46" s="550">
        <f t="shared" si="3"/>
        <v>41</v>
      </c>
      <c r="H46" s="550"/>
      <c r="I46" s="677">
        <v>41</v>
      </c>
    </row>
    <row r="47" spans="1:9" ht="24.75" customHeight="1">
      <c r="A47" s="683">
        <f>'DA4 xã'!A41</f>
        <v>14</v>
      </c>
      <c r="B47" s="684" t="str">
        <f>'DA4 xã'!B41</f>
        <v>Xã Tân Hoa</v>
      </c>
      <c r="C47" s="550">
        <f t="shared" si="1"/>
        <v>774</v>
      </c>
      <c r="D47" s="550">
        <f t="shared" si="2"/>
        <v>652</v>
      </c>
      <c r="E47" s="550">
        <f>'DA4 xã'!I41</f>
        <v>652</v>
      </c>
      <c r="F47" s="550"/>
      <c r="G47" s="550">
        <f t="shared" si="3"/>
        <v>122</v>
      </c>
      <c r="H47" s="550"/>
      <c r="I47" s="677">
        <v>122</v>
      </c>
    </row>
    <row r="48" spans="1:9" ht="24.75" customHeight="1">
      <c r="A48" s="683">
        <f>'DA4 xã'!A42</f>
        <v>15</v>
      </c>
      <c r="B48" s="684" t="str">
        <f>'DA4 xã'!B42</f>
        <v>Xã Kiên Thành</v>
      </c>
      <c r="C48" s="550">
        <f t="shared" si="1"/>
        <v>258</v>
      </c>
      <c r="D48" s="550">
        <f t="shared" si="2"/>
        <v>217</v>
      </c>
      <c r="E48" s="550">
        <f>'DA4 xã'!I42</f>
        <v>217</v>
      </c>
      <c r="F48" s="550"/>
      <c r="G48" s="550">
        <f t="shared" si="3"/>
        <v>41</v>
      </c>
      <c r="H48" s="550"/>
      <c r="I48" s="677">
        <v>41</v>
      </c>
    </row>
    <row r="49" spans="1:9" s="679" customFormat="1" ht="24.75" customHeight="1">
      <c r="A49" s="681" t="str">
        <f>'DA4 xã'!A43</f>
        <v>IV</v>
      </c>
      <c r="B49" s="682" t="str">
        <f>'DA4 xã'!B43</f>
        <v>HUYỆN LỤC NAM</v>
      </c>
      <c r="C49" s="553">
        <f t="shared" si="1"/>
        <v>13870</v>
      </c>
      <c r="D49" s="553">
        <f t="shared" si="2"/>
        <v>12325</v>
      </c>
      <c r="E49" s="553">
        <f>SUM(E50:E57)</f>
        <v>12325</v>
      </c>
      <c r="F49" s="553"/>
      <c r="G49" s="553">
        <f t="shared" si="3"/>
        <v>1545</v>
      </c>
      <c r="H49" s="553"/>
      <c r="I49" s="676">
        <f>SUM(I50:I57)</f>
        <v>1545</v>
      </c>
    </row>
    <row r="50" spans="1:9" ht="24.75" customHeight="1">
      <c r="A50" s="683">
        <f>'DA4 xã'!A44</f>
        <v>1</v>
      </c>
      <c r="B50" s="684" t="str">
        <f>'DA4 xã'!B44</f>
        <v>Xã Bình Sơn</v>
      </c>
      <c r="C50" s="550">
        <f t="shared" si="1"/>
        <v>2490</v>
      </c>
      <c r="D50" s="550">
        <f t="shared" si="2"/>
        <v>2249</v>
      </c>
      <c r="E50" s="550">
        <f>'DA4 xã'!I44</f>
        <v>2249</v>
      </c>
      <c r="F50" s="550"/>
      <c r="G50" s="550">
        <f t="shared" si="3"/>
        <v>241</v>
      </c>
      <c r="H50" s="550"/>
      <c r="I50" s="677">
        <v>241</v>
      </c>
    </row>
    <row r="51" spans="1:9" ht="24.75" customHeight="1">
      <c r="A51" s="683">
        <f>'DA4 xã'!A45</f>
        <v>2</v>
      </c>
      <c r="B51" s="684" t="str">
        <f>'DA4 xã'!B45</f>
        <v>Xã Lục Sơn</v>
      </c>
      <c r="C51" s="550">
        <f t="shared" si="1"/>
        <v>1729</v>
      </c>
      <c r="D51" s="550">
        <f t="shared" si="2"/>
        <v>1488</v>
      </c>
      <c r="E51" s="550">
        <f>'DA4 xã'!I45</f>
        <v>1488</v>
      </c>
      <c r="F51" s="550"/>
      <c r="G51" s="550">
        <f t="shared" si="3"/>
        <v>241</v>
      </c>
      <c r="H51" s="550"/>
      <c r="I51" s="677">
        <v>241</v>
      </c>
    </row>
    <row r="52" spans="1:9" ht="24.75" customHeight="1">
      <c r="A52" s="683">
        <f>'DA4 xã'!A46</f>
        <v>3</v>
      </c>
      <c r="B52" s="684" t="str">
        <f>'DA4 xã'!B46</f>
        <v>Xã Trường Sơn</v>
      </c>
      <c r="C52" s="550">
        <f t="shared" si="1"/>
        <v>1717</v>
      </c>
      <c r="D52" s="550">
        <f t="shared" si="2"/>
        <v>1479</v>
      </c>
      <c r="E52" s="550">
        <f>'DA4 xã'!I46</f>
        <v>1479</v>
      </c>
      <c r="F52" s="550"/>
      <c r="G52" s="550">
        <f t="shared" si="3"/>
        <v>238</v>
      </c>
      <c r="H52" s="550"/>
      <c r="I52" s="677">
        <v>238</v>
      </c>
    </row>
    <row r="53" spans="1:9" ht="24.75" customHeight="1">
      <c r="A53" s="683">
        <f>'DA4 xã'!A47</f>
        <v>4</v>
      </c>
      <c r="B53" s="684" t="str">
        <f>'DA4 xã'!B47</f>
        <v>Xã Vô Tranh</v>
      </c>
      <c r="C53" s="550">
        <f t="shared" si="1"/>
        <v>3264</v>
      </c>
      <c r="D53" s="550">
        <f t="shared" si="2"/>
        <v>3020</v>
      </c>
      <c r="E53" s="550">
        <f>'DA4 xã'!I47</f>
        <v>3020</v>
      </c>
      <c r="F53" s="550"/>
      <c r="G53" s="550">
        <f t="shared" si="3"/>
        <v>244</v>
      </c>
      <c r="H53" s="550"/>
      <c r="I53" s="677">
        <v>244</v>
      </c>
    </row>
    <row r="54" spans="1:9" ht="24.75" customHeight="1">
      <c r="A54" s="683">
        <f>'DA4 xã'!A48</f>
        <v>5</v>
      </c>
      <c r="B54" s="684" t="str">
        <f>'DA4 xã'!B48</f>
        <v>Xã Trường Giang</v>
      </c>
      <c r="C54" s="550">
        <f t="shared" si="1"/>
        <v>774</v>
      </c>
      <c r="D54" s="550">
        <f t="shared" si="2"/>
        <v>652</v>
      </c>
      <c r="E54" s="550">
        <f>'DA4 xã'!I48</f>
        <v>652</v>
      </c>
      <c r="F54" s="550"/>
      <c r="G54" s="550">
        <f t="shared" si="3"/>
        <v>122</v>
      </c>
      <c r="H54" s="550"/>
      <c r="I54" s="677">
        <v>122</v>
      </c>
    </row>
    <row r="55" spans="1:9" ht="24.75" customHeight="1">
      <c r="A55" s="683">
        <f>'DA4 xã'!A49</f>
        <v>6</v>
      </c>
      <c r="B55" s="684" t="str">
        <f>'DA4 xã'!B49</f>
        <v>Xã Nghĩa Phương</v>
      </c>
      <c r="C55" s="550">
        <f t="shared" si="1"/>
        <v>1087</v>
      </c>
      <c r="D55" s="550">
        <f t="shared" si="2"/>
        <v>912</v>
      </c>
      <c r="E55" s="550">
        <f>'DA4 xã'!I49</f>
        <v>912</v>
      </c>
      <c r="F55" s="550"/>
      <c r="G55" s="550">
        <f t="shared" si="3"/>
        <v>175</v>
      </c>
      <c r="H55" s="550"/>
      <c r="I55" s="677">
        <v>175</v>
      </c>
    </row>
    <row r="56" spans="1:9" ht="24.75" customHeight="1">
      <c r="A56" s="683">
        <f>'DA4 xã'!A50</f>
        <v>11</v>
      </c>
      <c r="B56" s="684" t="str">
        <f>'DA4 xã'!B50</f>
        <v>Xã Tam Dị</v>
      </c>
      <c r="C56" s="550">
        <f t="shared" si="1"/>
        <v>2035</v>
      </c>
      <c r="D56" s="550">
        <f t="shared" si="2"/>
        <v>1873</v>
      </c>
      <c r="E56" s="550">
        <f>'DA4 xã'!I50</f>
        <v>1873</v>
      </c>
      <c r="F56" s="550"/>
      <c r="G56" s="550">
        <f t="shared" si="3"/>
        <v>162</v>
      </c>
      <c r="H56" s="550"/>
      <c r="I56" s="677">
        <v>162</v>
      </c>
    </row>
    <row r="57" spans="1:9" ht="24.75" customHeight="1">
      <c r="A57" s="683">
        <f>'DA4 xã'!A51</f>
        <v>12</v>
      </c>
      <c r="B57" s="684" t="str">
        <f>'DA4 xã'!B51</f>
        <v>Xã Bảo Sơn</v>
      </c>
      <c r="C57" s="550">
        <f t="shared" si="1"/>
        <v>774</v>
      </c>
      <c r="D57" s="550">
        <f t="shared" si="2"/>
        <v>652</v>
      </c>
      <c r="E57" s="550">
        <f>'DA4 xã'!I51</f>
        <v>652</v>
      </c>
      <c r="F57" s="550"/>
      <c r="G57" s="550">
        <f t="shared" si="3"/>
        <v>122</v>
      </c>
      <c r="H57" s="550"/>
      <c r="I57" s="677">
        <v>122</v>
      </c>
    </row>
    <row r="58" spans="1:9" s="679" customFormat="1" ht="24.75" customHeight="1">
      <c r="A58" s="681" t="str">
        <f>'DA4 xã'!A52</f>
        <v>V</v>
      </c>
      <c r="B58" s="682" t="str">
        <f>'DA4 xã'!B52</f>
        <v> HUYỆN YÊN THẾ</v>
      </c>
      <c r="C58" s="553">
        <f t="shared" si="1"/>
        <v>7355</v>
      </c>
      <c r="D58" s="553">
        <f t="shared" si="2"/>
        <v>6362</v>
      </c>
      <c r="E58" s="553">
        <f>SUM(E59:E65)</f>
        <v>6362</v>
      </c>
      <c r="F58" s="553"/>
      <c r="G58" s="553">
        <f t="shared" si="3"/>
        <v>993</v>
      </c>
      <c r="H58" s="553"/>
      <c r="I58" s="676">
        <f>SUM(I59:I65)</f>
        <v>993</v>
      </c>
    </row>
    <row r="59" spans="1:9" ht="24.75" customHeight="1">
      <c r="A59" s="683">
        <f>'DA4 xã'!A53</f>
        <v>1</v>
      </c>
      <c r="B59" s="684" t="str">
        <f>'DA4 xã'!B53</f>
        <v>Xã Đồng Vương</v>
      </c>
      <c r="C59" s="550">
        <f t="shared" si="1"/>
        <v>2277</v>
      </c>
      <c r="D59" s="550">
        <f t="shared" si="2"/>
        <v>2040</v>
      </c>
      <c r="E59" s="550">
        <f>'DA4 xã'!I53</f>
        <v>2040</v>
      </c>
      <c r="F59" s="550"/>
      <c r="G59" s="550">
        <f t="shared" si="3"/>
        <v>237</v>
      </c>
      <c r="H59" s="550"/>
      <c r="I59" s="677">
        <v>237</v>
      </c>
    </row>
    <row r="60" spans="1:9" ht="24.75" customHeight="1">
      <c r="A60" s="683">
        <f>'DA4 xã'!A54</f>
        <v>2</v>
      </c>
      <c r="B60" s="684" t="str">
        <f>'DA4 xã'!B54</f>
        <v>Xã Đồng Tiến</v>
      </c>
      <c r="C60" s="550">
        <f t="shared" si="1"/>
        <v>1087</v>
      </c>
      <c r="D60" s="550">
        <f t="shared" si="2"/>
        <v>912</v>
      </c>
      <c r="E60" s="550">
        <f>'DA4 xã'!I54</f>
        <v>912</v>
      </c>
      <c r="F60" s="550"/>
      <c r="G60" s="550">
        <f t="shared" si="3"/>
        <v>175</v>
      </c>
      <c r="H60" s="550"/>
      <c r="I60" s="677">
        <v>175</v>
      </c>
    </row>
    <row r="61" spans="1:9" ht="24.75" customHeight="1">
      <c r="A61" s="683">
        <f>'DA4 xã'!A55</f>
        <v>3</v>
      </c>
      <c r="B61" s="684" t="str">
        <f>'DA4 xã'!B55</f>
        <v>Xã Canh Nậu</v>
      </c>
      <c r="C61" s="550">
        <f t="shared" si="1"/>
        <v>1848</v>
      </c>
      <c r="D61" s="550">
        <f t="shared" si="2"/>
        <v>1673</v>
      </c>
      <c r="E61" s="550">
        <f>'DA4 xã'!I55</f>
        <v>1673</v>
      </c>
      <c r="F61" s="550"/>
      <c r="G61" s="550">
        <f t="shared" si="3"/>
        <v>175</v>
      </c>
      <c r="H61" s="550"/>
      <c r="I61" s="677">
        <v>175</v>
      </c>
    </row>
    <row r="62" spans="1:9" ht="24.75" customHeight="1">
      <c r="A62" s="683">
        <f>'DA4 xã'!A56</f>
        <v>4</v>
      </c>
      <c r="B62" s="684" t="str">
        <f>'DA4 xã'!B56</f>
        <v>Xã Tiến Thắng</v>
      </c>
      <c r="C62" s="550">
        <f t="shared" si="1"/>
        <v>774</v>
      </c>
      <c r="D62" s="550">
        <f t="shared" si="2"/>
        <v>652</v>
      </c>
      <c r="E62" s="550">
        <f>'DA4 xã'!I56</f>
        <v>652</v>
      </c>
      <c r="F62" s="550"/>
      <c r="G62" s="550">
        <f t="shared" si="3"/>
        <v>122</v>
      </c>
      <c r="H62" s="550"/>
      <c r="I62" s="677">
        <v>122</v>
      </c>
    </row>
    <row r="63" spans="1:9" ht="24.75" customHeight="1">
      <c r="A63" s="683">
        <f>'DA4 xã'!A57</f>
        <v>5</v>
      </c>
      <c r="B63" s="684" t="str">
        <f>'DA4 xã'!B57</f>
        <v>Xã Đồng Hưu</v>
      </c>
      <c r="C63" s="550">
        <f t="shared" si="1"/>
        <v>596</v>
      </c>
      <c r="D63" s="550">
        <f t="shared" si="2"/>
        <v>434</v>
      </c>
      <c r="E63" s="550">
        <f>'DA4 xã'!I57</f>
        <v>434</v>
      </c>
      <c r="F63" s="550"/>
      <c r="G63" s="550">
        <f t="shared" si="3"/>
        <v>162</v>
      </c>
      <c r="H63" s="550"/>
      <c r="I63" s="677">
        <v>162</v>
      </c>
    </row>
    <row r="64" spans="1:9" ht="24.75" customHeight="1">
      <c r="A64" s="683">
        <f>'DA4 xã'!A58</f>
        <v>6</v>
      </c>
      <c r="B64" s="684" t="str">
        <f>'DA4 xã'!B58</f>
        <v>Xã Tân Hiệp</v>
      </c>
      <c r="C64" s="550">
        <f t="shared" si="1"/>
        <v>258</v>
      </c>
      <c r="D64" s="550">
        <f t="shared" si="2"/>
        <v>217</v>
      </c>
      <c r="E64" s="550">
        <f>'DA4 xã'!I58</f>
        <v>217</v>
      </c>
      <c r="F64" s="550"/>
      <c r="G64" s="550">
        <f t="shared" si="3"/>
        <v>41</v>
      </c>
      <c r="H64" s="550"/>
      <c r="I64" s="677">
        <v>41</v>
      </c>
    </row>
    <row r="65" spans="1:9" ht="24.75" customHeight="1">
      <c r="A65" s="683">
        <f>'DA4 xã'!A59</f>
        <v>7</v>
      </c>
      <c r="B65" s="684" t="str">
        <f>'DA4 xã'!B59</f>
        <v>Xã Đông Sơn</v>
      </c>
      <c r="C65" s="550">
        <f t="shared" si="1"/>
        <v>515</v>
      </c>
      <c r="D65" s="550">
        <f t="shared" si="2"/>
        <v>434</v>
      </c>
      <c r="E65" s="550">
        <f>'DA4 xã'!I59</f>
        <v>434</v>
      </c>
      <c r="F65" s="550"/>
      <c r="G65" s="550">
        <f t="shared" si="3"/>
        <v>81</v>
      </c>
      <c r="H65" s="550"/>
      <c r="I65" s="677">
        <v>81</v>
      </c>
    </row>
    <row r="66" ht="15">
      <c r="I66" s="262"/>
    </row>
    <row r="67" spans="1:2" ht="15">
      <c r="A67" s="897" t="s">
        <v>774</v>
      </c>
      <c r="B67" s="897"/>
    </row>
    <row r="68" spans="1:9" ht="18" customHeight="1">
      <c r="A68" s="887" t="s">
        <v>775</v>
      </c>
      <c r="B68" s="887"/>
      <c r="C68" s="887"/>
      <c r="D68" s="887"/>
      <c r="E68" s="887"/>
      <c r="F68" s="887"/>
      <c r="G68" s="887"/>
      <c r="H68" s="887"/>
      <c r="I68" s="887"/>
    </row>
    <row r="69" spans="1:9" ht="51" customHeight="1">
      <c r="A69" s="887" t="s">
        <v>865</v>
      </c>
      <c r="B69" s="887"/>
      <c r="C69" s="887"/>
      <c r="D69" s="887"/>
      <c r="E69" s="887"/>
      <c r="F69" s="887"/>
      <c r="G69" s="887"/>
      <c r="H69" s="887"/>
      <c r="I69" s="887"/>
    </row>
    <row r="71" ht="15">
      <c r="E71" s="685"/>
    </row>
  </sheetData>
  <sheetProtection/>
  <mergeCells count="19">
    <mergeCell ref="G6:I6"/>
    <mergeCell ref="D7:I7"/>
    <mergeCell ref="G9:G10"/>
    <mergeCell ref="A68:I68"/>
    <mergeCell ref="E9:F9"/>
    <mergeCell ref="D8:F8"/>
    <mergeCell ref="G8:I8"/>
    <mergeCell ref="H9:I9"/>
    <mergeCell ref="A67:B67"/>
    <mergeCell ref="A69:I69"/>
    <mergeCell ref="G1:I1"/>
    <mergeCell ref="A7:A10"/>
    <mergeCell ref="B7:B10"/>
    <mergeCell ref="C7:C10"/>
    <mergeCell ref="A3:I3"/>
    <mergeCell ref="A5:I5"/>
    <mergeCell ref="A4:I4"/>
    <mergeCell ref="A2:I2"/>
    <mergeCell ref="D9:D10"/>
  </mergeCells>
  <printOptions/>
  <pageMargins left="0.5118110236220472" right="0.1968503937007874" top="0.7480314960629921" bottom="0.7480314960629921" header="0.31496062992125984" footer="0.31496062992125984"/>
  <pageSetup horizontalDpi="600" verticalDpi="600" orientation="portrait" paperSize="9" scale="90" r:id="rId1"/>
  <headerFooter>
    <oddFooter>&amp;C&amp;P</oddFooter>
  </headerFooter>
</worksheet>
</file>

<file path=xl/worksheets/sheet29.xml><?xml version="1.0" encoding="utf-8"?>
<worksheet xmlns="http://schemas.openxmlformats.org/spreadsheetml/2006/main" xmlns:r="http://schemas.openxmlformats.org/officeDocument/2006/relationships">
  <sheetPr>
    <tabColor rgb="FFFF0000"/>
  </sheetPr>
  <dimension ref="A1:X64"/>
  <sheetViews>
    <sheetView zoomScale="48" zoomScaleNormal="48" zoomScalePageLayoutView="0" workbookViewId="0" topLeftCell="A1">
      <selection activeCell="R12" sqref="R12"/>
    </sheetView>
  </sheetViews>
  <sheetFormatPr defaultColWidth="9.00390625" defaultRowHeight="15.75"/>
  <cols>
    <col min="1" max="1" width="5.625" style="150" customWidth="1"/>
    <col min="2" max="2" width="39.625" style="150" customWidth="1"/>
    <col min="3" max="3" width="13.375" style="286" customWidth="1"/>
    <col min="4" max="4" width="11.25390625" style="150" customWidth="1"/>
    <col min="5" max="5" width="12.875" style="150" customWidth="1"/>
    <col min="6" max="6" width="9.00390625" style="286" customWidth="1"/>
    <col min="7" max="8" width="10.25390625" style="150" customWidth="1"/>
    <col min="9" max="9" width="10.50390625" style="150" customWidth="1"/>
    <col min="10" max="10" width="10.125" style="150" customWidth="1"/>
    <col min="11" max="11" width="11.125" style="150" customWidth="1"/>
    <col min="12" max="12" width="9.50390625" style="150" customWidth="1"/>
    <col min="13" max="13" width="11.00390625" style="150" customWidth="1"/>
    <col min="14" max="14" width="10.25390625" style="150" customWidth="1"/>
    <col min="15" max="15" width="9.00390625" style="150" customWidth="1"/>
    <col min="16" max="16" width="10.375" style="150" customWidth="1"/>
    <col min="17" max="17" width="9.75390625" style="150" customWidth="1"/>
    <col min="18" max="18" width="9.375" style="150" customWidth="1"/>
    <col min="19" max="19" width="7.625" style="150" customWidth="1"/>
    <col min="20" max="20" width="8.50390625" style="150" customWidth="1"/>
    <col min="21" max="22" width="9.00390625" style="150" customWidth="1"/>
    <col min="23" max="16384" width="9.00390625" style="150" customWidth="1"/>
  </cols>
  <sheetData>
    <row r="1" spans="3:20" s="649" customFormat="1" ht="27.75" customHeight="1">
      <c r="C1" s="650"/>
      <c r="F1" s="650"/>
      <c r="Q1" s="902"/>
      <c r="R1" s="902"/>
      <c r="S1" s="902"/>
      <c r="T1" s="902"/>
    </row>
    <row r="2" spans="1:20" ht="27" customHeight="1">
      <c r="A2" s="821" t="s">
        <v>790</v>
      </c>
      <c r="B2" s="821"/>
      <c r="C2" s="821"/>
      <c r="D2" s="821"/>
      <c r="E2" s="821"/>
      <c r="F2" s="821"/>
      <c r="G2" s="821"/>
      <c r="H2" s="821"/>
      <c r="I2" s="821"/>
      <c r="J2" s="821"/>
      <c r="K2" s="821"/>
      <c r="L2" s="821"/>
      <c r="M2" s="821"/>
      <c r="N2" s="821"/>
      <c r="O2" s="821"/>
      <c r="P2" s="821"/>
      <c r="Q2" s="821"/>
      <c r="R2" s="821"/>
      <c r="S2" s="821"/>
      <c r="T2" s="821"/>
    </row>
    <row r="3" spans="1:20" ht="27" customHeight="1">
      <c r="A3" s="821" t="s">
        <v>722</v>
      </c>
      <c r="B3" s="821"/>
      <c r="C3" s="821"/>
      <c r="D3" s="821"/>
      <c r="E3" s="821"/>
      <c r="F3" s="821"/>
      <c r="G3" s="821"/>
      <c r="H3" s="821"/>
      <c r="I3" s="821"/>
      <c r="J3" s="821"/>
      <c r="K3" s="821"/>
      <c r="L3" s="821"/>
      <c r="M3" s="821"/>
      <c r="N3" s="821"/>
      <c r="O3" s="821"/>
      <c r="P3" s="821"/>
      <c r="Q3" s="821"/>
      <c r="R3" s="821"/>
      <c r="S3" s="821"/>
      <c r="T3" s="821"/>
    </row>
    <row r="4" spans="1:20" ht="27" customHeight="1">
      <c r="A4" s="822" t="str">
        <f>'II.2.Biểu huyen, xa'!A5:I5</f>
        <v>(Kèm theo Kế hoạch  số:        /KH-UBND  ngày        /7/2022 của UBND tỉnh Bắc Giang)</v>
      </c>
      <c r="B4" s="821"/>
      <c r="C4" s="821"/>
      <c r="D4" s="821"/>
      <c r="E4" s="821"/>
      <c r="F4" s="821"/>
      <c r="G4" s="821"/>
      <c r="H4" s="821"/>
      <c r="I4" s="821"/>
      <c r="J4" s="821"/>
      <c r="K4" s="821"/>
      <c r="L4" s="821"/>
      <c r="M4" s="821"/>
      <c r="N4" s="821"/>
      <c r="O4" s="821"/>
      <c r="P4" s="821"/>
      <c r="Q4" s="821"/>
      <c r="R4" s="821"/>
      <c r="S4" s="821"/>
      <c r="T4" s="821"/>
    </row>
    <row r="5" spans="1:20" ht="23.25" customHeight="1">
      <c r="A5" s="495"/>
      <c r="B5" s="496"/>
      <c r="C5" s="495"/>
      <c r="D5" s="496"/>
      <c r="E5" s="496"/>
      <c r="F5" s="495"/>
      <c r="G5" s="496"/>
      <c r="H5" s="496"/>
      <c r="I5" s="496"/>
      <c r="J5" s="651"/>
      <c r="K5" s="651"/>
      <c r="L5" s="651"/>
      <c r="M5" s="651"/>
      <c r="N5" s="651"/>
      <c r="O5" s="651"/>
      <c r="P5" s="651"/>
      <c r="Q5" s="903" t="s">
        <v>532</v>
      </c>
      <c r="R5" s="903"/>
      <c r="S5" s="903"/>
      <c r="T5" s="903"/>
    </row>
    <row r="6" spans="1:20" ht="30.75" customHeight="1">
      <c r="A6" s="898" t="s">
        <v>549</v>
      </c>
      <c r="B6" s="898" t="s">
        <v>493</v>
      </c>
      <c r="C6" s="898" t="s">
        <v>791</v>
      </c>
      <c r="D6" s="898" t="s">
        <v>494</v>
      </c>
      <c r="E6" s="898" t="s">
        <v>727</v>
      </c>
      <c r="F6" s="898" t="s">
        <v>495</v>
      </c>
      <c r="G6" s="904" t="s">
        <v>496</v>
      </c>
      <c r="H6" s="905"/>
      <c r="I6" s="905"/>
      <c r="J6" s="906"/>
      <c r="K6" s="901" t="s">
        <v>497</v>
      </c>
      <c r="L6" s="901"/>
      <c r="M6" s="901"/>
      <c r="N6" s="901"/>
      <c r="O6" s="901"/>
      <c r="P6" s="901"/>
      <c r="Q6" s="901"/>
      <c r="R6" s="901"/>
      <c r="S6" s="901"/>
      <c r="T6" s="898" t="s">
        <v>216</v>
      </c>
    </row>
    <row r="7" spans="1:20" ht="57.75" customHeight="1">
      <c r="A7" s="899"/>
      <c r="B7" s="899"/>
      <c r="C7" s="899"/>
      <c r="D7" s="899"/>
      <c r="E7" s="899"/>
      <c r="F7" s="899"/>
      <c r="G7" s="907"/>
      <c r="H7" s="908"/>
      <c r="I7" s="908"/>
      <c r="J7" s="909"/>
      <c r="K7" s="901" t="s">
        <v>447</v>
      </c>
      <c r="L7" s="901"/>
      <c r="M7" s="901"/>
      <c r="N7" s="901" t="s">
        <v>728</v>
      </c>
      <c r="O7" s="901"/>
      <c r="P7" s="901"/>
      <c r="Q7" s="901" t="s">
        <v>720</v>
      </c>
      <c r="R7" s="901"/>
      <c r="S7" s="901"/>
      <c r="T7" s="899"/>
    </row>
    <row r="8" spans="1:20" ht="21" customHeight="1">
      <c r="A8" s="899"/>
      <c r="B8" s="899"/>
      <c r="C8" s="899"/>
      <c r="D8" s="899"/>
      <c r="E8" s="899"/>
      <c r="F8" s="899"/>
      <c r="G8" s="898" t="s">
        <v>499</v>
      </c>
      <c r="H8" s="901" t="s">
        <v>792</v>
      </c>
      <c r="I8" s="901" t="s">
        <v>501</v>
      </c>
      <c r="J8" s="901"/>
      <c r="K8" s="898" t="s">
        <v>447</v>
      </c>
      <c r="L8" s="901" t="s">
        <v>501</v>
      </c>
      <c r="M8" s="901"/>
      <c r="N8" s="901" t="s">
        <v>447</v>
      </c>
      <c r="O8" s="901" t="s">
        <v>501</v>
      </c>
      <c r="P8" s="901"/>
      <c r="Q8" s="901" t="s">
        <v>447</v>
      </c>
      <c r="R8" s="901" t="s">
        <v>501</v>
      </c>
      <c r="S8" s="901"/>
      <c r="T8" s="899"/>
    </row>
    <row r="9" spans="1:20" ht="15.75" customHeight="1">
      <c r="A9" s="899"/>
      <c r="B9" s="899"/>
      <c r="C9" s="899"/>
      <c r="D9" s="899"/>
      <c r="E9" s="899"/>
      <c r="F9" s="899"/>
      <c r="G9" s="899"/>
      <c r="H9" s="901"/>
      <c r="I9" s="901" t="s">
        <v>504</v>
      </c>
      <c r="J9" s="901" t="s">
        <v>505</v>
      </c>
      <c r="K9" s="899"/>
      <c r="L9" s="901" t="s">
        <v>503</v>
      </c>
      <c r="M9" s="901" t="s">
        <v>479</v>
      </c>
      <c r="N9" s="901"/>
      <c r="O9" s="901" t="s">
        <v>503</v>
      </c>
      <c r="P9" s="901" t="s">
        <v>479</v>
      </c>
      <c r="Q9" s="901"/>
      <c r="R9" s="901" t="s">
        <v>503</v>
      </c>
      <c r="S9" s="901" t="s">
        <v>479</v>
      </c>
      <c r="T9" s="899"/>
    </row>
    <row r="10" spans="1:20" ht="115.5" customHeight="1">
      <c r="A10" s="900"/>
      <c r="B10" s="900"/>
      <c r="C10" s="900"/>
      <c r="D10" s="900"/>
      <c r="E10" s="900"/>
      <c r="F10" s="900"/>
      <c r="G10" s="900"/>
      <c r="H10" s="901"/>
      <c r="I10" s="901"/>
      <c r="J10" s="901"/>
      <c r="K10" s="900"/>
      <c r="L10" s="901"/>
      <c r="M10" s="901"/>
      <c r="N10" s="901"/>
      <c r="O10" s="901"/>
      <c r="P10" s="901"/>
      <c r="Q10" s="901"/>
      <c r="R10" s="901"/>
      <c r="S10" s="901"/>
      <c r="T10" s="900"/>
    </row>
    <row r="11" spans="1:24" ht="57" customHeight="1">
      <c r="A11" s="653"/>
      <c r="B11" s="653" t="s">
        <v>447</v>
      </c>
      <c r="C11" s="653"/>
      <c r="D11" s="653"/>
      <c r="E11" s="653"/>
      <c r="F11" s="653"/>
      <c r="G11" s="653"/>
      <c r="H11" s="592">
        <f>H12+H15+H18+H32+H44</f>
        <v>894324</v>
      </c>
      <c r="I11" s="592">
        <f aca="true" t="shared" si="0" ref="I11:S11">I12+I15+I18+I32+I44</f>
        <v>308704</v>
      </c>
      <c r="J11" s="592">
        <f t="shared" si="0"/>
        <v>223274.3</v>
      </c>
      <c r="K11" s="592">
        <f t="shared" si="0"/>
        <v>94885</v>
      </c>
      <c r="L11" s="592">
        <f t="shared" si="0"/>
        <v>84885</v>
      </c>
      <c r="M11" s="592">
        <f t="shared" si="0"/>
        <v>10000</v>
      </c>
      <c r="N11" s="592">
        <f t="shared" si="0"/>
        <v>66149</v>
      </c>
      <c r="O11" s="592">
        <f t="shared" si="0"/>
        <v>56149</v>
      </c>
      <c r="P11" s="592">
        <f t="shared" si="0"/>
        <v>10000</v>
      </c>
      <c r="Q11" s="592">
        <f t="shared" si="0"/>
        <v>28736</v>
      </c>
      <c r="R11" s="592">
        <f t="shared" si="0"/>
        <v>28736</v>
      </c>
      <c r="S11" s="592">
        <f t="shared" si="0"/>
        <v>0</v>
      </c>
      <c r="T11" s="653"/>
      <c r="V11" s="567"/>
      <c r="W11" s="567"/>
      <c r="X11" s="597"/>
    </row>
    <row r="12" spans="1:20" s="72" customFormat="1" ht="118.5" customHeight="1">
      <c r="A12" s="537" t="s">
        <v>13</v>
      </c>
      <c r="B12" s="654" t="s">
        <v>729</v>
      </c>
      <c r="C12" s="655"/>
      <c r="D12" s="656"/>
      <c r="E12" s="656"/>
      <c r="F12" s="652"/>
      <c r="G12" s="656"/>
      <c r="H12" s="657">
        <f>H13+H14</f>
        <v>58000</v>
      </c>
      <c r="I12" s="657">
        <f>I13+I14</f>
        <v>49146</v>
      </c>
      <c r="J12" s="658"/>
      <c r="K12" s="657">
        <f>K13+K14</f>
        <v>8846</v>
      </c>
      <c r="L12" s="657">
        <f>L13+L14</f>
        <v>8846</v>
      </c>
      <c r="M12" s="657">
        <f>M13+M14</f>
        <v>0</v>
      </c>
      <c r="N12" s="657">
        <f>N13+N14</f>
        <v>8846</v>
      </c>
      <c r="O12" s="657">
        <f>O13+O14</f>
        <v>8846</v>
      </c>
      <c r="P12" s="657"/>
      <c r="Q12" s="657"/>
      <c r="R12" s="657"/>
      <c r="S12" s="657"/>
      <c r="T12" s="658"/>
    </row>
    <row r="13" spans="1:20" ht="186.75" customHeight="1">
      <c r="A13" s="659"/>
      <c r="B13" s="686" t="s">
        <v>793</v>
      </c>
      <c r="C13" s="655" t="s">
        <v>794</v>
      </c>
      <c r="D13" s="687" t="s">
        <v>795</v>
      </c>
      <c r="E13" s="660"/>
      <c r="F13" s="655"/>
      <c r="G13" s="660"/>
      <c r="H13" s="661">
        <v>35000</v>
      </c>
      <c r="I13" s="661">
        <v>30000</v>
      </c>
      <c r="J13" s="661"/>
      <c r="K13" s="661">
        <f>SUM(L13:M13)</f>
        <v>7000</v>
      </c>
      <c r="L13" s="661">
        <f>O13+R13</f>
        <v>7000</v>
      </c>
      <c r="M13" s="661"/>
      <c r="N13" s="661">
        <f>SUM(O13:P13)</f>
        <v>7000</v>
      </c>
      <c r="O13" s="661">
        <v>7000</v>
      </c>
      <c r="P13" s="661"/>
      <c r="Q13" s="662"/>
      <c r="R13" s="662"/>
      <c r="S13" s="662"/>
      <c r="T13" s="662"/>
    </row>
    <row r="14" spans="1:20" ht="114" customHeight="1">
      <c r="A14" s="659"/>
      <c r="B14" s="663" t="s">
        <v>796</v>
      </c>
      <c r="C14" s="655" t="s">
        <v>797</v>
      </c>
      <c r="D14" s="664" t="s">
        <v>798</v>
      </c>
      <c r="E14" s="660"/>
      <c r="F14" s="655"/>
      <c r="G14" s="660"/>
      <c r="H14" s="661">
        <v>23000</v>
      </c>
      <c r="I14" s="661">
        <v>19146</v>
      </c>
      <c r="J14" s="661"/>
      <c r="K14" s="661">
        <f>SUM(L14:M14)</f>
        <v>1846</v>
      </c>
      <c r="L14" s="661">
        <f>O14+R14</f>
        <v>1846</v>
      </c>
      <c r="M14" s="661"/>
      <c r="N14" s="661">
        <f>SUM(O14:P14)</f>
        <v>1846</v>
      </c>
      <c r="O14" s="661">
        <v>1846</v>
      </c>
      <c r="P14" s="661"/>
      <c r="Q14" s="662"/>
      <c r="R14" s="662"/>
      <c r="S14" s="662"/>
      <c r="T14" s="662"/>
    </row>
    <row r="15" spans="1:20" s="72" customFormat="1" ht="123" customHeight="1">
      <c r="A15" s="537" t="s">
        <v>15</v>
      </c>
      <c r="B15" s="538" t="s">
        <v>346</v>
      </c>
      <c r="C15" s="652"/>
      <c r="D15" s="656"/>
      <c r="E15" s="656"/>
      <c r="F15" s="652"/>
      <c r="G15" s="656"/>
      <c r="H15" s="657">
        <f>H16</f>
        <v>150000</v>
      </c>
      <c r="I15" s="657">
        <f>I16</f>
        <v>28733</v>
      </c>
      <c r="J15" s="657"/>
      <c r="K15" s="657">
        <f aca="true" t="shared" si="1" ref="K15:O16">K16</f>
        <v>6181</v>
      </c>
      <c r="L15" s="657">
        <f t="shared" si="1"/>
        <v>6181</v>
      </c>
      <c r="M15" s="657"/>
      <c r="N15" s="657">
        <f>N16</f>
        <v>6181</v>
      </c>
      <c r="O15" s="657">
        <f t="shared" si="1"/>
        <v>6181</v>
      </c>
      <c r="P15" s="657"/>
      <c r="Q15" s="658"/>
      <c r="R15" s="658"/>
      <c r="S15" s="658"/>
      <c r="T15" s="658"/>
    </row>
    <row r="16" spans="1:20" ht="126.75" customHeight="1">
      <c r="A16" s="659">
        <v>2</v>
      </c>
      <c r="B16" s="665" t="s">
        <v>516</v>
      </c>
      <c r="C16" s="655"/>
      <c r="D16" s="662"/>
      <c r="E16" s="662"/>
      <c r="F16" s="655"/>
      <c r="G16" s="662"/>
      <c r="H16" s="661">
        <f>H17</f>
        <v>150000</v>
      </c>
      <c r="I16" s="661">
        <f>I17</f>
        <v>28733</v>
      </c>
      <c r="J16" s="661"/>
      <c r="K16" s="661">
        <f t="shared" si="1"/>
        <v>6181</v>
      </c>
      <c r="L16" s="661">
        <f t="shared" si="1"/>
        <v>6181</v>
      </c>
      <c r="M16" s="661"/>
      <c r="N16" s="661">
        <f>O16</f>
        <v>6181</v>
      </c>
      <c r="O16" s="661">
        <f t="shared" si="1"/>
        <v>6181</v>
      </c>
      <c r="P16" s="661"/>
      <c r="Q16" s="661"/>
      <c r="R16" s="662"/>
      <c r="S16" s="662"/>
      <c r="T16" s="662"/>
    </row>
    <row r="17" spans="1:20" ht="30.75" customHeight="1">
      <c r="A17" s="659"/>
      <c r="B17" s="665" t="s">
        <v>696</v>
      </c>
      <c r="C17" s="655"/>
      <c r="D17" s="662"/>
      <c r="E17" s="662"/>
      <c r="F17" s="655"/>
      <c r="G17" s="662"/>
      <c r="H17" s="661">
        <v>150000</v>
      </c>
      <c r="I17" s="661">
        <v>28733</v>
      </c>
      <c r="J17" s="661"/>
      <c r="K17" s="661">
        <f>SUM(L17:M17)</f>
        <v>6181</v>
      </c>
      <c r="L17" s="661">
        <f>O17+R17</f>
        <v>6181</v>
      </c>
      <c r="M17" s="661"/>
      <c r="N17" s="661"/>
      <c r="O17" s="661">
        <v>6181</v>
      </c>
      <c r="P17" s="661"/>
      <c r="Q17" s="662"/>
      <c r="R17" s="662"/>
      <c r="S17" s="662"/>
      <c r="T17" s="662"/>
    </row>
    <row r="18" spans="1:20" s="72" customFormat="1" ht="108" customHeight="1">
      <c r="A18" s="537" t="s">
        <v>12</v>
      </c>
      <c r="B18" s="538" t="s">
        <v>347</v>
      </c>
      <c r="C18" s="652"/>
      <c r="D18" s="658"/>
      <c r="E18" s="658"/>
      <c r="F18" s="652"/>
      <c r="G18" s="658"/>
      <c r="H18" s="657">
        <f>H19</f>
        <v>391263</v>
      </c>
      <c r="I18" s="657">
        <f>I19</f>
        <v>114498</v>
      </c>
      <c r="J18" s="657">
        <f>J19</f>
        <v>123780</v>
      </c>
      <c r="K18" s="657">
        <f>SUM(L18:M18)</f>
        <v>36721</v>
      </c>
      <c r="L18" s="657">
        <f>O18+R18</f>
        <v>36721</v>
      </c>
      <c r="M18" s="657"/>
      <c r="N18" s="657">
        <f>N19</f>
        <v>21721</v>
      </c>
      <c r="O18" s="657">
        <f>O19</f>
        <v>21721</v>
      </c>
      <c r="P18" s="657"/>
      <c r="Q18" s="657">
        <f>Q19</f>
        <v>15000</v>
      </c>
      <c r="R18" s="657">
        <f>R19</f>
        <v>15000</v>
      </c>
      <c r="S18" s="657"/>
      <c r="T18" s="658"/>
    </row>
    <row r="19" spans="1:21" ht="87" customHeight="1">
      <c r="A19" s="659">
        <v>1</v>
      </c>
      <c r="B19" s="665" t="s">
        <v>517</v>
      </c>
      <c r="C19" s="655"/>
      <c r="D19" s="662"/>
      <c r="E19" s="662"/>
      <c r="F19" s="655"/>
      <c r="G19" s="662"/>
      <c r="H19" s="661">
        <f>H20+H22</f>
        <v>391263</v>
      </c>
      <c r="I19" s="661">
        <f>I20+I22</f>
        <v>114498</v>
      </c>
      <c r="J19" s="661">
        <f>J20+J22</f>
        <v>123780</v>
      </c>
      <c r="K19" s="661">
        <f>K20+K22</f>
        <v>36721</v>
      </c>
      <c r="L19" s="661">
        <f aca="true" t="shared" si="2" ref="L19:R19">L20+L22</f>
        <v>36721</v>
      </c>
      <c r="M19" s="661"/>
      <c r="N19" s="661">
        <f t="shared" si="2"/>
        <v>21721</v>
      </c>
      <c r="O19" s="661">
        <f t="shared" si="2"/>
        <v>21721</v>
      </c>
      <c r="P19" s="661"/>
      <c r="Q19" s="661">
        <f t="shared" si="2"/>
        <v>15000</v>
      </c>
      <c r="R19" s="661">
        <f t="shared" si="2"/>
        <v>15000</v>
      </c>
      <c r="S19" s="661"/>
      <c r="T19" s="666"/>
      <c r="U19" s="567"/>
    </row>
    <row r="20" spans="1:20" ht="39.75" customHeight="1">
      <c r="A20" s="655" t="s">
        <v>540</v>
      </c>
      <c r="B20" s="667" t="s">
        <v>545</v>
      </c>
      <c r="C20" s="655"/>
      <c r="D20" s="662"/>
      <c r="E20" s="662"/>
      <c r="F20" s="655"/>
      <c r="G20" s="662"/>
      <c r="H20" s="661">
        <f>H21</f>
        <v>23000</v>
      </c>
      <c r="I20" s="661">
        <f>I21</f>
        <v>5000</v>
      </c>
      <c r="J20" s="661">
        <f>J21</f>
        <v>16099.999999999998</v>
      </c>
      <c r="K20" s="661">
        <f>K21</f>
        <v>5650</v>
      </c>
      <c r="L20" s="661">
        <f aca="true" t="shared" si="3" ref="L20:R20">L21</f>
        <v>5650</v>
      </c>
      <c r="M20" s="661"/>
      <c r="N20" s="661">
        <f t="shared" si="3"/>
        <v>2650</v>
      </c>
      <c r="O20" s="661">
        <f t="shared" si="3"/>
        <v>2650</v>
      </c>
      <c r="P20" s="661"/>
      <c r="Q20" s="661">
        <f t="shared" si="3"/>
        <v>3000</v>
      </c>
      <c r="R20" s="661">
        <f t="shared" si="3"/>
        <v>3000</v>
      </c>
      <c r="S20" s="661"/>
      <c r="T20" s="662"/>
    </row>
    <row r="21" spans="1:20" ht="101.25" customHeight="1">
      <c r="A21" s="655"/>
      <c r="B21" s="670" t="s">
        <v>799</v>
      </c>
      <c r="C21" s="573" t="s">
        <v>800</v>
      </c>
      <c r="D21" s="655" t="s">
        <v>692</v>
      </c>
      <c r="E21" s="573" t="s">
        <v>801</v>
      </c>
      <c r="F21" s="655" t="s">
        <v>611</v>
      </c>
      <c r="G21" s="662"/>
      <c r="H21" s="661">
        <v>23000</v>
      </c>
      <c r="I21" s="661">
        <v>5000</v>
      </c>
      <c r="J21" s="661">
        <v>16099.999999999998</v>
      </c>
      <c r="K21" s="661">
        <f>L21+M21</f>
        <v>5650</v>
      </c>
      <c r="L21" s="661">
        <f>O21+R21</f>
        <v>5650</v>
      </c>
      <c r="M21" s="668"/>
      <c r="N21" s="661">
        <f>O21+P21</f>
        <v>2650</v>
      </c>
      <c r="O21" s="669">
        <v>2650</v>
      </c>
      <c r="P21" s="669">
        <v>0</v>
      </c>
      <c r="Q21" s="661">
        <f>SUM(R21:S21)</f>
        <v>3000</v>
      </c>
      <c r="R21" s="669">
        <v>3000</v>
      </c>
      <c r="S21" s="669"/>
      <c r="T21" s="662"/>
    </row>
    <row r="22" spans="1:20" ht="51.75" customHeight="1">
      <c r="A22" s="655" t="s">
        <v>612</v>
      </c>
      <c r="B22" s="524" t="s">
        <v>869</v>
      </c>
      <c r="C22" s="655"/>
      <c r="D22" s="662"/>
      <c r="E22" s="662"/>
      <c r="F22" s="655"/>
      <c r="G22" s="662"/>
      <c r="H22" s="661">
        <f>SUM(H23:H31)</f>
        <v>368263</v>
      </c>
      <c r="I22" s="661">
        <f>SUM(I23:I31)</f>
        <v>109498</v>
      </c>
      <c r="J22" s="661">
        <f>SUM(J23:J31)</f>
        <v>107680</v>
      </c>
      <c r="K22" s="661">
        <f>SUM(K23:K31)</f>
        <v>31071</v>
      </c>
      <c r="L22" s="661">
        <f aca="true" t="shared" si="4" ref="L22:S22">SUM(L23:L31)</f>
        <v>31071</v>
      </c>
      <c r="M22" s="661"/>
      <c r="N22" s="661">
        <f t="shared" si="4"/>
        <v>19071</v>
      </c>
      <c r="O22" s="661">
        <f t="shared" si="4"/>
        <v>19071</v>
      </c>
      <c r="P22" s="661">
        <f t="shared" si="4"/>
        <v>0</v>
      </c>
      <c r="Q22" s="661">
        <f t="shared" si="4"/>
        <v>12000</v>
      </c>
      <c r="R22" s="661">
        <f t="shared" si="4"/>
        <v>12000</v>
      </c>
      <c r="S22" s="661">
        <f t="shared" si="4"/>
        <v>0</v>
      </c>
      <c r="T22" s="662"/>
    </row>
    <row r="23" spans="1:21" ht="209.25" customHeight="1">
      <c r="A23" s="655" t="s">
        <v>511</v>
      </c>
      <c r="B23" s="670" t="s">
        <v>802</v>
      </c>
      <c r="C23" s="573" t="s">
        <v>800</v>
      </c>
      <c r="D23" s="655" t="s">
        <v>287</v>
      </c>
      <c r="E23" s="573" t="s">
        <v>803</v>
      </c>
      <c r="F23" s="573" t="s">
        <v>804</v>
      </c>
      <c r="G23" s="662"/>
      <c r="H23" s="661">
        <v>32500</v>
      </c>
      <c r="I23" s="661">
        <v>10646</v>
      </c>
      <c r="J23" s="661">
        <v>11200</v>
      </c>
      <c r="K23" s="661">
        <f aca="true" t="shared" si="5" ref="K23:K31">L23+M23</f>
        <v>8000</v>
      </c>
      <c r="L23" s="661">
        <f>O23+R23</f>
        <v>8000</v>
      </c>
      <c r="M23" s="668"/>
      <c r="N23" s="661">
        <f>O23+P23</f>
        <v>5000</v>
      </c>
      <c r="O23" s="669">
        <f>5000</f>
        <v>5000</v>
      </c>
      <c r="P23" s="669"/>
      <c r="Q23" s="661">
        <f>R23+S23</f>
        <v>3000</v>
      </c>
      <c r="R23" s="669">
        <v>3000</v>
      </c>
      <c r="S23" s="669"/>
      <c r="T23" s="662"/>
      <c r="U23" s="150">
        <f>571+10500</f>
        <v>11071</v>
      </c>
    </row>
    <row r="24" spans="1:20" ht="139.5" customHeight="1">
      <c r="A24" s="655" t="s">
        <v>511</v>
      </c>
      <c r="B24" s="670" t="s">
        <v>805</v>
      </c>
      <c r="C24" s="573" t="s">
        <v>800</v>
      </c>
      <c r="D24" s="655" t="s">
        <v>287</v>
      </c>
      <c r="E24" s="573" t="s">
        <v>806</v>
      </c>
      <c r="F24" s="573" t="s">
        <v>804</v>
      </c>
      <c r="G24" s="662"/>
      <c r="H24" s="661">
        <v>68500</v>
      </c>
      <c r="I24" s="661">
        <v>24333</v>
      </c>
      <c r="J24" s="661">
        <v>25600</v>
      </c>
      <c r="K24" s="661">
        <f t="shared" si="5"/>
        <v>9500</v>
      </c>
      <c r="L24" s="661">
        <f aca="true" t="shared" si="6" ref="L24:M31">O24+R24</f>
        <v>9500</v>
      </c>
      <c r="M24" s="668"/>
      <c r="N24" s="668">
        <f aca="true" t="shared" si="7" ref="N24:N31">O24+P24</f>
        <v>5500</v>
      </c>
      <c r="O24" s="669">
        <v>5500</v>
      </c>
      <c r="P24" s="669"/>
      <c r="Q24" s="661">
        <f aca="true" t="shared" si="8" ref="Q24:Q30">R24+S24</f>
        <v>4000</v>
      </c>
      <c r="R24" s="669">
        <v>4000</v>
      </c>
      <c r="S24" s="669"/>
      <c r="T24" s="662"/>
    </row>
    <row r="25" spans="1:20" ht="117.75" customHeight="1">
      <c r="A25" s="655" t="s">
        <v>511</v>
      </c>
      <c r="B25" s="670" t="s">
        <v>807</v>
      </c>
      <c r="C25" s="573" t="s">
        <v>808</v>
      </c>
      <c r="D25" s="655" t="s">
        <v>287</v>
      </c>
      <c r="E25" s="573" t="s">
        <v>809</v>
      </c>
      <c r="F25" s="573" t="s">
        <v>810</v>
      </c>
      <c r="G25" s="662"/>
      <c r="H25" s="661">
        <v>9000</v>
      </c>
      <c r="I25" s="661">
        <v>2738</v>
      </c>
      <c r="J25" s="661">
        <v>2880</v>
      </c>
      <c r="K25" s="661">
        <f t="shared" si="5"/>
        <v>271</v>
      </c>
      <c r="L25" s="661">
        <f t="shared" si="6"/>
        <v>271</v>
      </c>
      <c r="M25" s="668">
        <f t="shared" si="6"/>
        <v>0</v>
      </c>
      <c r="N25" s="661">
        <f t="shared" si="7"/>
        <v>271</v>
      </c>
      <c r="O25" s="669">
        <v>271</v>
      </c>
      <c r="P25" s="669"/>
      <c r="Q25" s="661">
        <f t="shared" si="8"/>
        <v>0</v>
      </c>
      <c r="R25" s="669"/>
      <c r="S25" s="669"/>
      <c r="T25" s="655" t="s">
        <v>811</v>
      </c>
    </row>
    <row r="26" spans="1:20" ht="141" customHeight="1">
      <c r="A26" s="655" t="s">
        <v>511</v>
      </c>
      <c r="B26" s="670" t="s">
        <v>812</v>
      </c>
      <c r="C26" s="573" t="s">
        <v>800</v>
      </c>
      <c r="D26" s="655" t="s">
        <v>287</v>
      </c>
      <c r="E26" s="573" t="s">
        <v>813</v>
      </c>
      <c r="F26" s="573" t="s">
        <v>814</v>
      </c>
      <c r="G26" s="662"/>
      <c r="H26" s="661">
        <v>42000</v>
      </c>
      <c r="I26" s="661">
        <v>18249</v>
      </c>
      <c r="J26" s="661">
        <v>19200</v>
      </c>
      <c r="K26" s="661">
        <f t="shared" si="5"/>
        <v>300</v>
      </c>
      <c r="L26" s="661">
        <f t="shared" si="6"/>
        <v>300</v>
      </c>
      <c r="M26" s="668">
        <f t="shared" si="6"/>
        <v>0</v>
      </c>
      <c r="N26" s="668">
        <f t="shared" si="7"/>
        <v>300</v>
      </c>
      <c r="O26" s="669">
        <v>300</v>
      </c>
      <c r="P26" s="669"/>
      <c r="Q26" s="661">
        <f t="shared" si="8"/>
        <v>0</v>
      </c>
      <c r="R26" s="669"/>
      <c r="S26" s="669"/>
      <c r="T26" s="655" t="s">
        <v>811</v>
      </c>
    </row>
    <row r="27" spans="1:20" ht="116.25" customHeight="1">
      <c r="A27" s="655" t="s">
        <v>511</v>
      </c>
      <c r="B27" s="670" t="s">
        <v>815</v>
      </c>
      <c r="C27" s="573" t="s">
        <v>816</v>
      </c>
      <c r="D27" s="655" t="s">
        <v>288</v>
      </c>
      <c r="E27" s="573" t="s">
        <v>817</v>
      </c>
      <c r="F27" s="573" t="s">
        <v>818</v>
      </c>
      <c r="G27" s="662"/>
      <c r="H27" s="661">
        <v>93000</v>
      </c>
      <c r="I27" s="661">
        <v>24181</v>
      </c>
      <c r="J27" s="661">
        <v>22260</v>
      </c>
      <c r="K27" s="661">
        <f t="shared" si="5"/>
        <v>5500</v>
      </c>
      <c r="L27" s="661">
        <f t="shared" si="6"/>
        <v>5500</v>
      </c>
      <c r="M27" s="668"/>
      <c r="N27" s="668">
        <f t="shared" si="7"/>
        <v>3500</v>
      </c>
      <c r="O27" s="669">
        <v>3500</v>
      </c>
      <c r="P27" s="669"/>
      <c r="Q27" s="661">
        <f t="shared" si="8"/>
        <v>2000</v>
      </c>
      <c r="R27" s="669">
        <v>2000</v>
      </c>
      <c r="S27" s="669"/>
      <c r="T27" s="662"/>
    </row>
    <row r="28" spans="1:20" ht="91.5" customHeight="1">
      <c r="A28" s="655" t="s">
        <v>511</v>
      </c>
      <c r="B28" s="670" t="s">
        <v>819</v>
      </c>
      <c r="C28" s="573" t="s">
        <v>816</v>
      </c>
      <c r="D28" s="655" t="s">
        <v>288</v>
      </c>
      <c r="E28" s="573" t="s">
        <v>820</v>
      </c>
      <c r="F28" s="573" t="s">
        <v>810</v>
      </c>
      <c r="G28" s="662"/>
      <c r="H28" s="661">
        <v>83000</v>
      </c>
      <c r="I28" s="661">
        <v>17489</v>
      </c>
      <c r="J28" s="661">
        <v>16100</v>
      </c>
      <c r="K28" s="661">
        <f t="shared" si="5"/>
        <v>500</v>
      </c>
      <c r="L28" s="661">
        <f t="shared" si="6"/>
        <v>500</v>
      </c>
      <c r="M28" s="668"/>
      <c r="N28" s="668">
        <f t="shared" si="7"/>
        <v>500</v>
      </c>
      <c r="O28" s="669">
        <v>500</v>
      </c>
      <c r="P28" s="669"/>
      <c r="Q28" s="661"/>
      <c r="R28" s="669"/>
      <c r="S28" s="669"/>
      <c r="T28" s="655" t="s">
        <v>811</v>
      </c>
    </row>
    <row r="29" spans="1:20" ht="75.75" customHeight="1">
      <c r="A29" s="655" t="s">
        <v>511</v>
      </c>
      <c r="B29" s="670" t="s">
        <v>821</v>
      </c>
      <c r="C29" s="573" t="s">
        <v>822</v>
      </c>
      <c r="D29" s="655" t="s">
        <v>289</v>
      </c>
      <c r="E29" s="573" t="s">
        <v>823</v>
      </c>
      <c r="F29" s="573" t="s">
        <v>611</v>
      </c>
      <c r="G29" s="662"/>
      <c r="H29" s="661">
        <v>4492</v>
      </c>
      <c r="I29" s="661">
        <v>1065</v>
      </c>
      <c r="J29" s="661">
        <v>840</v>
      </c>
      <c r="K29" s="661">
        <f t="shared" si="5"/>
        <v>1890</v>
      </c>
      <c r="L29" s="661">
        <f t="shared" si="6"/>
        <v>1890</v>
      </c>
      <c r="M29" s="668"/>
      <c r="N29" s="668">
        <f t="shared" si="7"/>
        <v>1050</v>
      </c>
      <c r="O29" s="669">
        <v>1050</v>
      </c>
      <c r="P29" s="669"/>
      <c r="Q29" s="661">
        <f t="shared" si="8"/>
        <v>840</v>
      </c>
      <c r="R29" s="669">
        <v>840</v>
      </c>
      <c r="S29" s="669"/>
      <c r="T29" s="662"/>
    </row>
    <row r="30" spans="1:20" ht="64.5" customHeight="1">
      <c r="A30" s="655" t="s">
        <v>511</v>
      </c>
      <c r="B30" s="670" t="s">
        <v>824</v>
      </c>
      <c r="C30" s="573" t="s">
        <v>822</v>
      </c>
      <c r="D30" s="655" t="s">
        <v>289</v>
      </c>
      <c r="E30" s="573" t="s">
        <v>825</v>
      </c>
      <c r="F30" s="573" t="s">
        <v>611</v>
      </c>
      <c r="G30" s="662"/>
      <c r="H30" s="661">
        <v>25000</v>
      </c>
      <c r="I30" s="661">
        <v>6691</v>
      </c>
      <c r="J30" s="661">
        <v>5280</v>
      </c>
      <c r="K30" s="661">
        <f t="shared" si="5"/>
        <v>4910</v>
      </c>
      <c r="L30" s="661">
        <f t="shared" si="6"/>
        <v>4910</v>
      </c>
      <c r="M30" s="668"/>
      <c r="N30" s="668">
        <f t="shared" si="7"/>
        <v>2750</v>
      </c>
      <c r="O30" s="669">
        <v>2750</v>
      </c>
      <c r="P30" s="669"/>
      <c r="Q30" s="661">
        <f t="shared" si="8"/>
        <v>2160</v>
      </c>
      <c r="R30" s="669">
        <v>2160</v>
      </c>
      <c r="S30" s="669"/>
      <c r="T30" s="662"/>
    </row>
    <row r="31" spans="1:22" ht="159.75" customHeight="1">
      <c r="A31" s="655" t="s">
        <v>511</v>
      </c>
      <c r="B31" s="524" t="s">
        <v>826</v>
      </c>
      <c r="C31" s="573" t="s">
        <v>827</v>
      </c>
      <c r="D31" s="655" t="s">
        <v>290</v>
      </c>
      <c r="E31" s="573" t="s">
        <v>828</v>
      </c>
      <c r="F31" s="573" t="s">
        <v>829</v>
      </c>
      <c r="G31" s="662"/>
      <c r="H31" s="661">
        <v>10771</v>
      </c>
      <c r="I31" s="661">
        <v>4106</v>
      </c>
      <c r="J31" s="661">
        <v>4320</v>
      </c>
      <c r="K31" s="661">
        <f t="shared" si="5"/>
        <v>200</v>
      </c>
      <c r="L31" s="661">
        <f t="shared" si="6"/>
        <v>200</v>
      </c>
      <c r="M31" s="668">
        <f t="shared" si="6"/>
        <v>0</v>
      </c>
      <c r="N31" s="668">
        <f t="shared" si="7"/>
        <v>200</v>
      </c>
      <c r="O31" s="669">
        <v>200</v>
      </c>
      <c r="P31" s="669"/>
      <c r="Q31" s="661"/>
      <c r="R31" s="669"/>
      <c r="S31" s="669"/>
      <c r="T31" s="655" t="s">
        <v>811</v>
      </c>
      <c r="V31" s="150" t="s">
        <v>830</v>
      </c>
    </row>
    <row r="32" spans="1:22" s="72" customFormat="1" ht="66.75" customHeight="1">
      <c r="A32" s="537" t="s">
        <v>16</v>
      </c>
      <c r="B32" s="538" t="s">
        <v>354</v>
      </c>
      <c r="C32" s="652"/>
      <c r="D32" s="658"/>
      <c r="E32" s="658"/>
      <c r="F32" s="652"/>
      <c r="G32" s="658"/>
      <c r="H32" s="657">
        <f aca="true" t="shared" si="9" ref="H32:Q32">H33+H42</f>
        <v>282061</v>
      </c>
      <c r="I32" s="657">
        <f t="shared" si="9"/>
        <v>104327</v>
      </c>
      <c r="J32" s="657">
        <f t="shared" si="9"/>
        <v>99494.29999999999</v>
      </c>
      <c r="K32" s="657">
        <f t="shared" si="9"/>
        <v>40715</v>
      </c>
      <c r="L32" s="657">
        <f t="shared" si="9"/>
        <v>30715</v>
      </c>
      <c r="M32" s="657">
        <f t="shared" si="9"/>
        <v>10000</v>
      </c>
      <c r="N32" s="657">
        <f t="shared" si="9"/>
        <v>26979</v>
      </c>
      <c r="O32" s="657">
        <f t="shared" si="9"/>
        <v>16979</v>
      </c>
      <c r="P32" s="657">
        <f t="shared" si="9"/>
        <v>10000</v>
      </c>
      <c r="Q32" s="657">
        <f t="shared" si="9"/>
        <v>13736</v>
      </c>
      <c r="R32" s="657">
        <f>R33+R42</f>
        <v>13736</v>
      </c>
      <c r="S32" s="658"/>
      <c r="T32" s="658"/>
      <c r="V32" s="671"/>
    </row>
    <row r="33" spans="1:20" ht="123.75" customHeight="1">
      <c r="A33" s="659">
        <v>1</v>
      </c>
      <c r="B33" s="524" t="s">
        <v>518</v>
      </c>
      <c r="C33" s="655"/>
      <c r="D33" s="662"/>
      <c r="E33" s="662"/>
      <c r="F33" s="655"/>
      <c r="G33" s="662"/>
      <c r="H33" s="661">
        <f>H34</f>
        <v>272061</v>
      </c>
      <c r="I33" s="661">
        <f>I34</f>
        <v>94327</v>
      </c>
      <c r="J33" s="661">
        <f>J34</f>
        <v>99494.29999999999</v>
      </c>
      <c r="K33" s="661">
        <f>K34</f>
        <v>30715</v>
      </c>
      <c r="L33" s="661">
        <f aca="true" t="shared" si="10" ref="L33:Q33">L34</f>
        <v>30715</v>
      </c>
      <c r="M33" s="661"/>
      <c r="N33" s="661">
        <f>N34</f>
        <v>16979</v>
      </c>
      <c r="O33" s="661">
        <f t="shared" si="10"/>
        <v>16979</v>
      </c>
      <c r="P33" s="661"/>
      <c r="Q33" s="661">
        <f t="shared" si="10"/>
        <v>13736</v>
      </c>
      <c r="R33" s="661">
        <f>R34</f>
        <v>13736</v>
      </c>
      <c r="S33" s="662"/>
      <c r="T33" s="662"/>
    </row>
    <row r="34" spans="1:20" ht="52.5" customHeight="1">
      <c r="A34" s="655" t="s">
        <v>540</v>
      </c>
      <c r="B34" s="524" t="s">
        <v>598</v>
      </c>
      <c r="C34" s="655"/>
      <c r="D34" s="662"/>
      <c r="E34" s="662"/>
      <c r="F34" s="655"/>
      <c r="G34" s="662"/>
      <c r="H34" s="661">
        <f>SUM(H35:H41)</f>
        <v>272061</v>
      </c>
      <c r="I34" s="661">
        <f aca="true" t="shared" si="11" ref="I34:R34">SUM(I35:I41)</f>
        <v>94327</v>
      </c>
      <c r="J34" s="661">
        <f t="shared" si="11"/>
        <v>99494.29999999999</v>
      </c>
      <c r="K34" s="661">
        <f t="shared" si="11"/>
        <v>30715</v>
      </c>
      <c r="L34" s="661">
        <f t="shared" si="11"/>
        <v>30715</v>
      </c>
      <c r="M34" s="661"/>
      <c r="N34" s="661">
        <f>SUM(N35:N41)</f>
        <v>16979</v>
      </c>
      <c r="O34" s="661">
        <f t="shared" si="11"/>
        <v>16979</v>
      </c>
      <c r="P34" s="661"/>
      <c r="Q34" s="661">
        <f t="shared" si="11"/>
        <v>13736</v>
      </c>
      <c r="R34" s="661">
        <f t="shared" si="11"/>
        <v>13736</v>
      </c>
      <c r="S34" s="661"/>
      <c r="T34" s="661"/>
    </row>
    <row r="35" spans="1:20" ht="233.25" customHeight="1">
      <c r="A35" s="659" t="s">
        <v>831</v>
      </c>
      <c r="B35" s="524" t="s">
        <v>832</v>
      </c>
      <c r="C35" s="573" t="s">
        <v>833</v>
      </c>
      <c r="D35" s="573" t="s">
        <v>834</v>
      </c>
      <c r="E35" s="573"/>
      <c r="F35" s="573" t="s">
        <v>818</v>
      </c>
      <c r="G35" s="662"/>
      <c r="H35" s="661">
        <v>58338</v>
      </c>
      <c r="I35" s="661">
        <v>18000</v>
      </c>
      <c r="J35" s="661">
        <v>35000</v>
      </c>
      <c r="K35" s="661">
        <f aca="true" t="shared" si="12" ref="K35:K41">L35+M35</f>
        <v>7000</v>
      </c>
      <c r="L35" s="661">
        <f aca="true" t="shared" si="13" ref="L35:L41">O35+R35</f>
        <v>7000</v>
      </c>
      <c r="M35" s="668"/>
      <c r="N35" s="661">
        <f aca="true" t="shared" si="14" ref="N35:N41">O35+P35</f>
        <v>4000</v>
      </c>
      <c r="O35" s="669">
        <v>4000</v>
      </c>
      <c r="P35" s="669"/>
      <c r="Q35" s="669">
        <f aca="true" t="shared" si="15" ref="Q35:Q41">R35+S35</f>
        <v>3000</v>
      </c>
      <c r="R35" s="669">
        <v>3000</v>
      </c>
      <c r="S35" s="662"/>
      <c r="T35" s="662"/>
    </row>
    <row r="36" spans="1:22" ht="189.75" customHeight="1">
      <c r="A36" s="659" t="s">
        <v>835</v>
      </c>
      <c r="B36" s="524" t="s">
        <v>836</v>
      </c>
      <c r="C36" s="573" t="s">
        <v>827</v>
      </c>
      <c r="D36" s="655" t="s">
        <v>290</v>
      </c>
      <c r="E36" s="573"/>
      <c r="F36" s="573" t="s">
        <v>804</v>
      </c>
      <c r="G36" s="662"/>
      <c r="H36" s="661">
        <v>33562</v>
      </c>
      <c r="I36" s="661">
        <v>12000</v>
      </c>
      <c r="J36" s="661">
        <v>10800</v>
      </c>
      <c r="K36" s="661">
        <f t="shared" si="12"/>
        <v>3736</v>
      </c>
      <c r="L36" s="661">
        <f t="shared" si="13"/>
        <v>3736</v>
      </c>
      <c r="M36" s="668"/>
      <c r="N36" s="661">
        <f t="shared" si="14"/>
        <v>2000</v>
      </c>
      <c r="O36" s="669">
        <v>2000</v>
      </c>
      <c r="P36" s="669"/>
      <c r="Q36" s="669">
        <f t="shared" si="15"/>
        <v>1736</v>
      </c>
      <c r="R36" s="669">
        <v>1736</v>
      </c>
      <c r="S36" s="662"/>
      <c r="T36" s="662"/>
      <c r="V36" s="150" t="s">
        <v>837</v>
      </c>
    </row>
    <row r="37" spans="1:20" ht="155.25" customHeight="1">
      <c r="A37" s="659" t="s">
        <v>838</v>
      </c>
      <c r="B37" s="524" t="s">
        <v>839</v>
      </c>
      <c r="C37" s="573" t="s">
        <v>822</v>
      </c>
      <c r="D37" s="655" t="s">
        <v>289</v>
      </c>
      <c r="E37" s="573"/>
      <c r="F37" s="573" t="s">
        <v>840</v>
      </c>
      <c r="G37" s="662"/>
      <c r="H37" s="661">
        <v>54000</v>
      </c>
      <c r="I37" s="661">
        <v>14000</v>
      </c>
      <c r="J37" s="661">
        <v>8400</v>
      </c>
      <c r="K37" s="661">
        <f t="shared" si="12"/>
        <v>8479</v>
      </c>
      <c r="L37" s="661">
        <f t="shared" si="13"/>
        <v>8479</v>
      </c>
      <c r="M37" s="668"/>
      <c r="N37" s="661">
        <f t="shared" si="14"/>
        <v>4479</v>
      </c>
      <c r="O37" s="669">
        <v>4479</v>
      </c>
      <c r="P37" s="669"/>
      <c r="Q37" s="669">
        <f t="shared" si="15"/>
        <v>4000</v>
      </c>
      <c r="R37" s="669">
        <v>4000</v>
      </c>
      <c r="S37" s="662"/>
      <c r="T37" s="662"/>
    </row>
    <row r="38" spans="1:22" ht="128.25" customHeight="1">
      <c r="A38" s="659" t="s">
        <v>841</v>
      </c>
      <c r="B38" s="672" t="s">
        <v>842</v>
      </c>
      <c r="C38" s="573" t="s">
        <v>816</v>
      </c>
      <c r="D38" s="655" t="s">
        <v>288</v>
      </c>
      <c r="E38" s="573"/>
      <c r="F38" s="573" t="s">
        <v>804</v>
      </c>
      <c r="G38" s="662"/>
      <c r="H38" s="661">
        <v>26000</v>
      </c>
      <c r="I38" s="661">
        <v>10000</v>
      </c>
      <c r="J38" s="661">
        <v>9000</v>
      </c>
      <c r="K38" s="661">
        <f t="shared" si="12"/>
        <v>4700</v>
      </c>
      <c r="L38" s="661">
        <f t="shared" si="13"/>
        <v>4700</v>
      </c>
      <c r="M38" s="668"/>
      <c r="N38" s="661">
        <f t="shared" si="14"/>
        <v>2700</v>
      </c>
      <c r="O38" s="669">
        <v>2700</v>
      </c>
      <c r="P38" s="669"/>
      <c r="Q38" s="669">
        <f t="shared" si="15"/>
        <v>2000</v>
      </c>
      <c r="R38" s="669">
        <v>2000</v>
      </c>
      <c r="S38" s="662"/>
      <c r="T38" s="662"/>
      <c r="V38" s="150" t="s">
        <v>830</v>
      </c>
    </row>
    <row r="39" spans="1:20" ht="157.5" customHeight="1">
      <c r="A39" s="659" t="s">
        <v>843</v>
      </c>
      <c r="B39" s="672" t="s">
        <v>844</v>
      </c>
      <c r="C39" s="573" t="s">
        <v>816</v>
      </c>
      <c r="D39" s="655" t="s">
        <v>288</v>
      </c>
      <c r="E39" s="573"/>
      <c r="F39" s="573" t="s">
        <v>814</v>
      </c>
      <c r="G39" s="662"/>
      <c r="H39" s="661">
        <v>25000</v>
      </c>
      <c r="I39" s="661">
        <v>9951</v>
      </c>
      <c r="J39" s="661">
        <v>8955.9</v>
      </c>
      <c r="K39" s="661">
        <f t="shared" si="12"/>
        <v>300</v>
      </c>
      <c r="L39" s="661">
        <f t="shared" si="13"/>
        <v>300</v>
      </c>
      <c r="M39" s="668"/>
      <c r="N39" s="661">
        <f t="shared" si="14"/>
        <v>300</v>
      </c>
      <c r="O39" s="669">
        <v>300</v>
      </c>
      <c r="P39" s="669"/>
      <c r="Q39" s="669">
        <f t="shared" si="15"/>
        <v>0</v>
      </c>
      <c r="R39" s="669"/>
      <c r="S39" s="662"/>
      <c r="T39" s="655" t="s">
        <v>811</v>
      </c>
    </row>
    <row r="40" spans="1:20" ht="166.5" customHeight="1">
      <c r="A40" s="659" t="s">
        <v>845</v>
      </c>
      <c r="B40" s="524" t="s">
        <v>846</v>
      </c>
      <c r="C40" s="573" t="s">
        <v>800</v>
      </c>
      <c r="D40" s="655" t="s">
        <v>287</v>
      </c>
      <c r="E40" s="573"/>
      <c r="F40" s="573" t="s">
        <v>804</v>
      </c>
      <c r="G40" s="662"/>
      <c r="H40" s="661">
        <v>38531</v>
      </c>
      <c r="I40" s="661">
        <v>15976</v>
      </c>
      <c r="J40" s="661">
        <v>14378.4</v>
      </c>
      <c r="K40" s="661">
        <f t="shared" si="12"/>
        <v>6200</v>
      </c>
      <c r="L40" s="661">
        <f t="shared" si="13"/>
        <v>6200</v>
      </c>
      <c r="M40" s="668"/>
      <c r="N40" s="661">
        <f t="shared" si="14"/>
        <v>3200</v>
      </c>
      <c r="O40" s="669">
        <v>3200</v>
      </c>
      <c r="P40" s="669"/>
      <c r="Q40" s="669">
        <f t="shared" si="15"/>
        <v>3000</v>
      </c>
      <c r="R40" s="669">
        <v>3000</v>
      </c>
      <c r="S40" s="662"/>
      <c r="T40" s="662"/>
    </row>
    <row r="41" spans="1:20" ht="138" customHeight="1">
      <c r="A41" s="659" t="s">
        <v>847</v>
      </c>
      <c r="B41" s="524" t="s">
        <v>848</v>
      </c>
      <c r="C41" s="573" t="s">
        <v>800</v>
      </c>
      <c r="D41" s="655" t="s">
        <v>287</v>
      </c>
      <c r="E41" s="573"/>
      <c r="F41" s="573" t="s">
        <v>814</v>
      </c>
      <c r="G41" s="662"/>
      <c r="H41" s="661">
        <v>36630</v>
      </c>
      <c r="I41" s="661">
        <v>14400</v>
      </c>
      <c r="J41" s="661">
        <v>12960</v>
      </c>
      <c r="K41" s="661">
        <f t="shared" si="12"/>
        <v>300</v>
      </c>
      <c r="L41" s="661">
        <f t="shared" si="13"/>
        <v>300</v>
      </c>
      <c r="M41" s="668"/>
      <c r="N41" s="661">
        <f t="shared" si="14"/>
        <v>300</v>
      </c>
      <c r="O41" s="669">
        <v>300</v>
      </c>
      <c r="P41" s="669"/>
      <c r="Q41" s="669">
        <f t="shared" si="15"/>
        <v>0</v>
      </c>
      <c r="R41" s="669"/>
      <c r="S41" s="662"/>
      <c r="T41" s="655" t="s">
        <v>811</v>
      </c>
    </row>
    <row r="42" spans="1:20" ht="87.75" customHeight="1">
      <c r="A42" s="659">
        <v>2</v>
      </c>
      <c r="B42" s="524" t="s">
        <v>849</v>
      </c>
      <c r="C42" s="573"/>
      <c r="D42" s="655"/>
      <c r="E42" s="573"/>
      <c r="F42" s="573"/>
      <c r="G42" s="662"/>
      <c r="H42" s="661">
        <f>H43</f>
        <v>10000</v>
      </c>
      <c r="I42" s="661">
        <f>I43</f>
        <v>10000</v>
      </c>
      <c r="J42" s="661"/>
      <c r="K42" s="661">
        <f>K43</f>
        <v>10000</v>
      </c>
      <c r="L42" s="661"/>
      <c r="M42" s="661">
        <f>M43</f>
        <v>10000</v>
      </c>
      <c r="N42" s="661">
        <f>N43</f>
        <v>10000</v>
      </c>
      <c r="O42" s="669"/>
      <c r="P42" s="669">
        <f>P43</f>
        <v>10000</v>
      </c>
      <c r="Q42" s="669"/>
      <c r="R42" s="669"/>
      <c r="S42" s="662"/>
      <c r="T42" s="655"/>
    </row>
    <row r="43" spans="1:20" ht="107.25" customHeight="1">
      <c r="A43" s="659"/>
      <c r="B43" s="524" t="s">
        <v>850</v>
      </c>
      <c r="C43" s="573" t="s">
        <v>851</v>
      </c>
      <c r="D43" s="655"/>
      <c r="E43" s="573"/>
      <c r="F43" s="573">
        <v>2022</v>
      </c>
      <c r="G43" s="662"/>
      <c r="H43" s="661">
        <v>10000</v>
      </c>
      <c r="I43" s="661">
        <v>10000</v>
      </c>
      <c r="J43" s="661"/>
      <c r="K43" s="661">
        <v>10000</v>
      </c>
      <c r="L43" s="661"/>
      <c r="M43" s="661">
        <v>10000</v>
      </c>
      <c r="N43" s="661">
        <f>P43</f>
        <v>10000</v>
      </c>
      <c r="O43" s="669"/>
      <c r="P43" s="669">
        <v>10000</v>
      </c>
      <c r="Q43" s="669"/>
      <c r="R43" s="669"/>
      <c r="S43" s="662"/>
      <c r="T43" s="655"/>
    </row>
    <row r="44" spans="1:20" s="72" customFormat="1" ht="114" customHeight="1">
      <c r="A44" s="537" t="s">
        <v>35</v>
      </c>
      <c r="B44" s="538" t="s">
        <v>552</v>
      </c>
      <c r="C44" s="655"/>
      <c r="D44" s="658"/>
      <c r="E44" s="658"/>
      <c r="F44" s="652"/>
      <c r="G44" s="658"/>
      <c r="H44" s="657">
        <f>H45</f>
        <v>13000</v>
      </c>
      <c r="I44" s="657">
        <f>I45</f>
        <v>12000</v>
      </c>
      <c r="J44" s="657"/>
      <c r="K44" s="657">
        <f>K45</f>
        <v>2422</v>
      </c>
      <c r="L44" s="657">
        <f aca="true" t="shared" si="16" ref="L44:S44">L45</f>
        <v>2422</v>
      </c>
      <c r="M44" s="657">
        <f t="shared" si="16"/>
        <v>0</v>
      </c>
      <c r="N44" s="657">
        <f t="shared" si="16"/>
        <v>2422</v>
      </c>
      <c r="O44" s="657">
        <f t="shared" si="16"/>
        <v>2422</v>
      </c>
      <c r="P44" s="657">
        <f t="shared" si="16"/>
        <v>0</v>
      </c>
      <c r="Q44" s="657">
        <f t="shared" si="16"/>
        <v>0</v>
      </c>
      <c r="R44" s="657">
        <f t="shared" si="16"/>
        <v>0</v>
      </c>
      <c r="S44" s="657">
        <f t="shared" si="16"/>
        <v>0</v>
      </c>
      <c r="T44" s="658"/>
    </row>
    <row r="45" spans="1:20" s="72" customFormat="1" ht="112.5" customHeight="1">
      <c r="A45" s="659">
        <v>1</v>
      </c>
      <c r="B45" s="673" t="s">
        <v>852</v>
      </c>
      <c r="C45" s="655" t="s">
        <v>592</v>
      </c>
      <c r="D45" s="658"/>
      <c r="E45" s="658"/>
      <c r="F45" s="655" t="s">
        <v>804</v>
      </c>
      <c r="G45" s="658"/>
      <c r="H45" s="657">
        <v>13000</v>
      </c>
      <c r="I45" s="657">
        <v>12000</v>
      </c>
      <c r="J45" s="657"/>
      <c r="K45" s="657">
        <f>L45+M45</f>
        <v>2422</v>
      </c>
      <c r="L45" s="657">
        <f>O45</f>
        <v>2422</v>
      </c>
      <c r="M45" s="657"/>
      <c r="N45" s="657">
        <f>O45+P45</f>
        <v>2422</v>
      </c>
      <c r="O45" s="674">
        <v>2422</v>
      </c>
      <c r="P45" s="674"/>
      <c r="Q45" s="658"/>
      <c r="R45" s="658"/>
      <c r="S45" s="658"/>
      <c r="T45" s="658"/>
    </row>
    <row r="46" s="506" customFormat="1" ht="27" customHeight="1">
      <c r="B46" s="675"/>
    </row>
    <row r="58" spans="11:19" ht="15">
      <c r="K58" s="567"/>
      <c r="L58" s="567"/>
      <c r="M58" s="567"/>
      <c r="N58" s="567"/>
      <c r="O58" s="567"/>
      <c r="P58" s="567"/>
      <c r="Q58" s="567"/>
      <c r="R58" s="567"/>
      <c r="S58" s="567"/>
    </row>
    <row r="61" ht="15">
      <c r="R61" s="567"/>
    </row>
    <row r="64" ht="15">
      <c r="R64" s="567"/>
    </row>
  </sheetData>
  <sheetProtection/>
  <mergeCells count="34">
    <mergeCell ref="T6:T10"/>
    <mergeCell ref="K7:M7"/>
    <mergeCell ref="N7:P7"/>
    <mergeCell ref="Q7:S7"/>
    <mergeCell ref="S9:S10"/>
    <mergeCell ref="R8:S8"/>
    <mergeCell ref="O8:P8"/>
    <mergeCell ref="Q8:Q10"/>
    <mergeCell ref="Q1:T1"/>
    <mergeCell ref="A2:T2"/>
    <mergeCell ref="A3:T3"/>
    <mergeCell ref="A4:T4"/>
    <mergeCell ref="Q5:T5"/>
    <mergeCell ref="A6:A10"/>
    <mergeCell ref="G6:J7"/>
    <mergeCell ref="I9:I10"/>
    <mergeCell ref="N8:N10"/>
    <mergeCell ref="R9:R10"/>
    <mergeCell ref="B6:B10"/>
    <mergeCell ref="C6:C10"/>
    <mergeCell ref="D6:D10"/>
    <mergeCell ref="E6:E10"/>
    <mergeCell ref="P9:P10"/>
    <mergeCell ref="K8:K10"/>
    <mergeCell ref="O9:O10"/>
    <mergeCell ref="L9:L10"/>
    <mergeCell ref="M9:M10"/>
    <mergeCell ref="L8:M8"/>
    <mergeCell ref="F6:F10"/>
    <mergeCell ref="H8:H10"/>
    <mergeCell ref="I8:J8"/>
    <mergeCell ref="J9:J10"/>
    <mergeCell ref="K6:S6"/>
    <mergeCell ref="G8:G10"/>
  </mergeCells>
  <printOptions/>
  <pageMargins left="0.31496062992125984" right="0.31496062992125984" top="0.7480314960629921" bottom="0.7480314960629921" header="0.31496062992125984" footer="0.31496062992125984"/>
  <pageSetup horizontalDpi="600" verticalDpi="600" orientation="landscape" scale="54" r:id="rId1"/>
</worksheet>
</file>

<file path=xl/worksheets/sheet3.xml><?xml version="1.0" encoding="utf-8"?>
<worksheet xmlns="http://schemas.openxmlformats.org/spreadsheetml/2006/main" xmlns:r="http://schemas.openxmlformats.org/officeDocument/2006/relationships">
  <dimension ref="A1:T79"/>
  <sheetViews>
    <sheetView zoomScalePageLayoutView="0" workbookViewId="0" topLeftCell="A1">
      <selection activeCell="G11" sqref="G11"/>
    </sheetView>
  </sheetViews>
  <sheetFormatPr defaultColWidth="9.00390625" defaultRowHeight="15.75"/>
  <cols>
    <col min="1" max="1" width="5.00390625" style="0" customWidth="1"/>
    <col min="2" max="2" width="15.00390625" style="0" customWidth="1"/>
    <col min="5" max="5" width="8.25390625" style="0" customWidth="1"/>
  </cols>
  <sheetData>
    <row r="1" spans="1:20" ht="17.25">
      <c r="A1" s="700" t="s">
        <v>310</v>
      </c>
      <c r="B1" s="700"/>
      <c r="C1" s="700"/>
      <c r="D1" s="700"/>
      <c r="E1" s="700"/>
      <c r="F1" s="700"/>
      <c r="G1" s="700"/>
      <c r="H1" s="700"/>
      <c r="I1" s="700"/>
      <c r="J1" s="700"/>
      <c r="K1" s="700"/>
      <c r="L1" s="700"/>
      <c r="M1" s="700"/>
      <c r="N1" s="700"/>
      <c r="O1" s="700"/>
      <c r="P1" s="700"/>
      <c r="Q1" s="700"/>
      <c r="R1" s="700"/>
      <c r="S1" s="700"/>
      <c r="T1" s="700"/>
    </row>
    <row r="2" spans="1:20" ht="18">
      <c r="A2" s="709"/>
      <c r="B2" s="709"/>
      <c r="C2" s="709"/>
      <c r="D2" s="709"/>
      <c r="E2" s="709"/>
      <c r="F2" s="709"/>
      <c r="G2" s="709"/>
      <c r="H2" s="709"/>
      <c r="I2" s="709"/>
      <c r="J2" s="709"/>
      <c r="K2" s="709"/>
      <c r="L2" s="709"/>
      <c r="M2" s="709"/>
      <c r="N2" s="709"/>
      <c r="O2" s="709"/>
      <c r="P2" s="709"/>
      <c r="Q2" s="709"/>
      <c r="R2" s="299"/>
      <c r="S2" s="303"/>
      <c r="T2" s="86"/>
    </row>
    <row r="3" spans="1:20" ht="15.75" customHeight="1">
      <c r="A3" s="332" t="s">
        <v>0</v>
      </c>
      <c r="B3" s="332" t="s">
        <v>193</v>
      </c>
      <c r="C3" s="715" t="s">
        <v>325</v>
      </c>
      <c r="D3" s="716"/>
      <c r="E3" s="716"/>
      <c r="F3" s="717"/>
      <c r="G3" s="712" t="s">
        <v>324</v>
      </c>
      <c r="H3" s="713"/>
      <c r="I3" s="713"/>
      <c r="J3" s="714"/>
      <c r="K3" s="712" t="s">
        <v>323</v>
      </c>
      <c r="L3" s="724"/>
      <c r="M3" s="725"/>
      <c r="N3" s="337"/>
      <c r="O3" s="723" t="s">
        <v>322</v>
      </c>
      <c r="P3" s="723"/>
      <c r="Q3" s="723"/>
      <c r="R3" s="723"/>
      <c r="S3" s="702" t="s">
        <v>326</v>
      </c>
      <c r="T3" s="705" t="s">
        <v>327</v>
      </c>
    </row>
    <row r="4" spans="1:20" ht="15">
      <c r="A4" s="336"/>
      <c r="B4" s="336"/>
      <c r="C4" s="701" t="s">
        <v>321</v>
      </c>
      <c r="D4" s="701" t="s">
        <v>282</v>
      </c>
      <c r="E4" s="701" t="s">
        <v>283</v>
      </c>
      <c r="F4" s="710" t="s">
        <v>196</v>
      </c>
      <c r="G4" s="701" t="s">
        <v>321</v>
      </c>
      <c r="H4" s="701" t="s">
        <v>282</v>
      </c>
      <c r="I4" s="701" t="s">
        <v>283</v>
      </c>
      <c r="J4" s="710" t="s">
        <v>196</v>
      </c>
      <c r="K4" s="701" t="s">
        <v>321</v>
      </c>
      <c r="L4" s="701" t="s">
        <v>282</v>
      </c>
      <c r="M4" s="701" t="s">
        <v>283</v>
      </c>
      <c r="N4" s="710" t="s">
        <v>196</v>
      </c>
      <c r="O4" s="708" t="s">
        <v>320</v>
      </c>
      <c r="P4" s="708" t="s">
        <v>282</v>
      </c>
      <c r="Q4" s="708" t="s">
        <v>283</v>
      </c>
      <c r="R4" s="722" t="s">
        <v>196</v>
      </c>
      <c r="S4" s="703"/>
      <c r="T4" s="706"/>
    </row>
    <row r="5" spans="1:20" ht="15">
      <c r="A5" s="336"/>
      <c r="B5" s="336"/>
      <c r="C5" s="701"/>
      <c r="D5" s="701"/>
      <c r="E5" s="701"/>
      <c r="F5" s="711"/>
      <c r="G5" s="701"/>
      <c r="H5" s="701"/>
      <c r="I5" s="701"/>
      <c r="J5" s="711"/>
      <c r="K5" s="701"/>
      <c r="L5" s="701"/>
      <c r="M5" s="701"/>
      <c r="N5" s="711"/>
      <c r="O5" s="701"/>
      <c r="P5" s="701"/>
      <c r="Q5" s="701"/>
      <c r="R5" s="711"/>
      <c r="S5" s="704"/>
      <c r="T5" s="707"/>
    </row>
    <row r="6" spans="1:20" ht="15">
      <c r="A6" s="334"/>
      <c r="B6" s="334" t="s">
        <v>287</v>
      </c>
      <c r="C6" s="334"/>
      <c r="D6" s="334">
        <v>0.4</v>
      </c>
      <c r="E6" s="334">
        <f>+D6*C6</f>
        <v>0</v>
      </c>
      <c r="F6" s="326">
        <f>+E6*$H$17</f>
        <v>0</v>
      </c>
      <c r="G6" s="334">
        <v>79</v>
      </c>
      <c r="H6" s="334">
        <v>0.4</v>
      </c>
      <c r="I6" s="334">
        <f>+H6*G6</f>
        <v>31.6</v>
      </c>
      <c r="J6" s="326">
        <f>+I6*$H$17</f>
        <v>3159.102272727273</v>
      </c>
      <c r="K6" s="334">
        <v>0</v>
      </c>
      <c r="L6" s="334">
        <v>0.225</v>
      </c>
      <c r="M6" s="335">
        <f>+L6*K6</f>
        <v>0</v>
      </c>
      <c r="N6" s="326">
        <f>+M6*$H$17</f>
        <v>0</v>
      </c>
      <c r="O6" s="334">
        <v>4</v>
      </c>
      <c r="P6" s="334">
        <v>30</v>
      </c>
      <c r="Q6" s="334">
        <f>+P6*O6</f>
        <v>120</v>
      </c>
      <c r="R6" s="326">
        <f>+Q6*$H$17</f>
        <v>11996.590909090908</v>
      </c>
      <c r="S6" s="331">
        <f aca="true" t="shared" si="0" ref="S6:S11">+E6+I6+M6+Q6</f>
        <v>151.6</v>
      </c>
      <c r="T6" s="335">
        <f>+S6*H17</f>
        <v>15155.69318181818</v>
      </c>
    </row>
    <row r="7" spans="1:20" ht="15">
      <c r="A7" s="334"/>
      <c r="B7" s="334" t="s">
        <v>288</v>
      </c>
      <c r="C7" s="334"/>
      <c r="D7" s="334">
        <v>0.4</v>
      </c>
      <c r="E7" s="334">
        <f>+D7*C7</f>
        <v>0</v>
      </c>
      <c r="F7" s="326">
        <f>+E7*$H$17</f>
        <v>0</v>
      </c>
      <c r="G7" s="334">
        <v>79</v>
      </c>
      <c r="H7" s="334">
        <v>0.4</v>
      </c>
      <c r="I7" s="334">
        <f>+H7*G7</f>
        <v>31.6</v>
      </c>
      <c r="J7" s="326">
        <f>+I7*$H$17</f>
        <v>3159.102272727273</v>
      </c>
      <c r="K7" s="334">
        <v>0</v>
      </c>
      <c r="L7" s="334">
        <v>0.225</v>
      </c>
      <c r="M7" s="335">
        <f>+L7*K7</f>
        <v>0</v>
      </c>
      <c r="N7" s="326">
        <f>+M7*$H$17</f>
        <v>0</v>
      </c>
      <c r="O7" s="334">
        <v>0</v>
      </c>
      <c r="P7" s="334">
        <v>30</v>
      </c>
      <c r="Q7" s="334">
        <f>+P7*O7</f>
        <v>0</v>
      </c>
      <c r="R7" s="326">
        <f>+Q7*$H$17</f>
        <v>0</v>
      </c>
      <c r="S7" s="331">
        <f t="shared" si="0"/>
        <v>31.6</v>
      </c>
      <c r="T7" s="335">
        <f>+S7*H17</f>
        <v>3159.102272727273</v>
      </c>
    </row>
    <row r="8" spans="1:20" ht="15">
      <c r="A8" s="334"/>
      <c r="B8" s="334" t="s">
        <v>289</v>
      </c>
      <c r="C8" s="334"/>
      <c r="D8" s="334">
        <v>0.4</v>
      </c>
      <c r="E8" s="334">
        <f>+D8*C8</f>
        <v>0</v>
      </c>
      <c r="F8" s="326">
        <f>+E8*$H$17</f>
        <v>0</v>
      </c>
      <c r="G8" s="334">
        <v>127</v>
      </c>
      <c r="H8" s="334">
        <v>0.4</v>
      </c>
      <c r="I8" s="334">
        <f>+H8*G8</f>
        <v>50.800000000000004</v>
      </c>
      <c r="J8" s="326">
        <f>+I8*$H$17</f>
        <v>5078.556818181819</v>
      </c>
      <c r="K8" s="334">
        <v>0</v>
      </c>
      <c r="L8" s="334">
        <v>0.225</v>
      </c>
      <c r="M8" s="335">
        <f>+L8*K8</f>
        <v>0</v>
      </c>
      <c r="N8" s="326">
        <f>+M8*$H$17</f>
        <v>0</v>
      </c>
      <c r="O8" s="334">
        <v>0</v>
      </c>
      <c r="P8" s="334">
        <v>30</v>
      </c>
      <c r="Q8" s="334">
        <f>+P8*O8</f>
        <v>0</v>
      </c>
      <c r="R8" s="326">
        <f>+Q8*$H$17</f>
        <v>0</v>
      </c>
      <c r="S8" s="331">
        <f t="shared" si="0"/>
        <v>50.800000000000004</v>
      </c>
      <c r="T8" s="335">
        <f>+S8*H17</f>
        <v>5078.556818181819</v>
      </c>
    </row>
    <row r="9" spans="1:20" ht="15">
      <c r="A9" s="334"/>
      <c r="B9" s="334" t="s">
        <v>290</v>
      </c>
      <c r="C9" s="334"/>
      <c r="E9" s="334">
        <f>+D10*C9</f>
        <v>0</v>
      </c>
      <c r="F9" s="326">
        <f>+E9*$H$17</f>
        <v>0</v>
      </c>
      <c r="G9" s="334">
        <v>28</v>
      </c>
      <c r="H9" s="334">
        <v>0.4</v>
      </c>
      <c r="I9" s="334">
        <f>+H9*G9</f>
        <v>11.200000000000001</v>
      </c>
      <c r="J9" s="326">
        <f>+I9*$H$17</f>
        <v>1119.6818181818182</v>
      </c>
      <c r="K9" s="334">
        <v>0</v>
      </c>
      <c r="L9" s="334">
        <v>0.225</v>
      </c>
      <c r="M9" s="335">
        <f>+L9*K9</f>
        <v>0</v>
      </c>
      <c r="N9" s="326">
        <f>+M9*$H$17</f>
        <v>0</v>
      </c>
      <c r="O9" s="334">
        <v>0</v>
      </c>
      <c r="P9" s="334">
        <v>30</v>
      </c>
      <c r="Q9" s="334">
        <f>+P9*O9</f>
        <v>0</v>
      </c>
      <c r="R9" s="326">
        <f>+Q9*$H$17</f>
        <v>0</v>
      </c>
      <c r="S9" s="331">
        <f t="shared" si="0"/>
        <v>11.200000000000001</v>
      </c>
      <c r="T9" s="335">
        <f>+S9*H17</f>
        <v>1119.6818181818182</v>
      </c>
    </row>
    <row r="10" spans="1:20" ht="15">
      <c r="A10" s="334"/>
      <c r="B10" s="334" t="s">
        <v>295</v>
      </c>
      <c r="C10" s="334"/>
      <c r="D10" s="334">
        <v>0.4</v>
      </c>
      <c r="E10" s="334">
        <f>+D11*C10</f>
        <v>0</v>
      </c>
      <c r="F10" s="326">
        <f>+E10*$H$17</f>
        <v>0</v>
      </c>
      <c r="G10" s="334">
        <v>3</v>
      </c>
      <c r="H10" s="334">
        <v>0.4</v>
      </c>
      <c r="I10" s="334">
        <f>+H10*G10</f>
        <v>1.2000000000000002</v>
      </c>
      <c r="J10" s="326">
        <f>+I10*$H$17</f>
        <v>119.96590909090911</v>
      </c>
      <c r="K10" s="334"/>
      <c r="L10" s="334"/>
      <c r="M10" s="335"/>
      <c r="N10" s="326">
        <f>+M10*$H$17</f>
        <v>0</v>
      </c>
      <c r="O10" s="334"/>
      <c r="P10" s="334"/>
      <c r="Q10" s="334"/>
      <c r="R10" s="326">
        <f>+Q10*$H$17</f>
        <v>0</v>
      </c>
      <c r="S10" s="331">
        <f t="shared" si="0"/>
        <v>1.2000000000000002</v>
      </c>
      <c r="T10" s="335">
        <f>+S10*H18</f>
        <v>0</v>
      </c>
    </row>
    <row r="11" spans="1:20" ht="15">
      <c r="A11" s="332"/>
      <c r="B11" s="332" t="s">
        <v>206</v>
      </c>
      <c r="C11" s="332">
        <f aca="true" t="shared" si="1" ref="C11:R11">SUM(C6:C10)</f>
        <v>0</v>
      </c>
      <c r="D11" s="332">
        <f>SUM(D6:D10)</f>
        <v>1.6</v>
      </c>
      <c r="E11" s="332">
        <f t="shared" si="1"/>
        <v>0</v>
      </c>
      <c r="F11" s="472">
        <f t="shared" si="1"/>
        <v>0</v>
      </c>
      <c r="G11" s="332">
        <f>SUM(G6:G10)</f>
        <v>316</v>
      </c>
      <c r="H11" s="332">
        <f t="shared" si="1"/>
        <v>2</v>
      </c>
      <c r="I11" s="332">
        <f t="shared" si="1"/>
        <v>126.4</v>
      </c>
      <c r="J11" s="327">
        <f t="shared" si="1"/>
        <v>12636.409090909092</v>
      </c>
      <c r="K11" s="332">
        <f t="shared" si="1"/>
        <v>0</v>
      </c>
      <c r="L11" s="332">
        <f t="shared" si="1"/>
        <v>0.9</v>
      </c>
      <c r="M11" s="333">
        <f t="shared" si="1"/>
        <v>0</v>
      </c>
      <c r="N11" s="327">
        <f t="shared" si="1"/>
        <v>0</v>
      </c>
      <c r="O11" s="332">
        <f t="shared" si="1"/>
        <v>4</v>
      </c>
      <c r="P11" s="332">
        <f t="shared" si="1"/>
        <v>120</v>
      </c>
      <c r="Q11" s="332">
        <f t="shared" si="1"/>
        <v>120</v>
      </c>
      <c r="R11" s="327">
        <f t="shared" si="1"/>
        <v>11996.590909090908</v>
      </c>
      <c r="S11" s="331">
        <f t="shared" si="0"/>
        <v>246.4</v>
      </c>
      <c r="T11" s="471">
        <f>SUM(T6:T10)</f>
        <v>24513.034090909092</v>
      </c>
    </row>
    <row r="12" spans="1:20" ht="15">
      <c r="A12" s="315"/>
      <c r="B12" s="470" t="s">
        <v>217</v>
      </c>
      <c r="C12" s="315"/>
      <c r="D12" s="315"/>
      <c r="E12" s="315"/>
      <c r="F12" s="315"/>
      <c r="G12" s="315"/>
      <c r="H12" s="315"/>
      <c r="I12" s="315"/>
      <c r="J12" s="315"/>
      <c r="K12" s="315"/>
      <c r="L12" s="315"/>
      <c r="M12" s="315"/>
      <c r="N12" s="315"/>
      <c r="O12" s="315"/>
      <c r="P12" s="315"/>
      <c r="Q12" s="315"/>
      <c r="R12" s="315"/>
      <c r="S12" s="315"/>
      <c r="T12" s="315">
        <f>+R11+N11+J11+F11</f>
        <v>24633</v>
      </c>
    </row>
    <row r="13" spans="1:20" ht="15">
      <c r="A13" s="315"/>
      <c r="B13" s="315"/>
      <c r="C13" s="315"/>
      <c r="D13" s="315"/>
      <c r="E13" s="315"/>
      <c r="F13" s="315" t="e">
        <f>+F11/C11</f>
        <v>#DIV/0!</v>
      </c>
      <c r="G13" s="315"/>
      <c r="H13" s="315"/>
      <c r="I13" s="315"/>
      <c r="J13" s="315">
        <f>+J11/G11</f>
        <v>39.98863636363637</v>
      </c>
      <c r="K13" s="315"/>
      <c r="L13" s="315"/>
      <c r="M13" s="315"/>
      <c r="N13" s="315"/>
      <c r="O13" s="315"/>
      <c r="P13" s="315"/>
      <c r="Q13" s="315"/>
      <c r="R13" s="315"/>
      <c r="S13" s="315"/>
      <c r="T13" s="315"/>
    </row>
    <row r="14" spans="1:20" ht="15">
      <c r="A14" s="315"/>
      <c r="B14" s="315"/>
      <c r="C14" s="315"/>
      <c r="D14" s="315"/>
      <c r="E14" s="315"/>
      <c r="F14" s="315"/>
      <c r="G14" s="315"/>
      <c r="H14" s="315"/>
      <c r="I14" s="315"/>
      <c r="J14" s="315"/>
      <c r="K14" s="315"/>
      <c r="L14" s="315"/>
      <c r="M14" s="315"/>
      <c r="N14" s="315"/>
      <c r="O14" s="315"/>
      <c r="P14" s="315"/>
      <c r="Q14" s="315"/>
      <c r="R14" s="315"/>
      <c r="S14" s="315"/>
      <c r="T14" s="315"/>
    </row>
    <row r="15" ht="15">
      <c r="S15" s="302"/>
    </row>
    <row r="16" spans="7:19" ht="15">
      <c r="G16" t="s">
        <v>196</v>
      </c>
      <c r="H16" t="s">
        <v>305</v>
      </c>
      <c r="S16" s="302"/>
    </row>
    <row r="17" spans="5:19" ht="15">
      <c r="E17" t="s">
        <v>141</v>
      </c>
      <c r="G17">
        <v>24633</v>
      </c>
      <c r="H17" s="330">
        <f>G17/S11</f>
        <v>99.9715909090909</v>
      </c>
      <c r="L17" s="1" t="s">
        <v>386</v>
      </c>
      <c r="M17" s="1">
        <v>16</v>
      </c>
      <c r="N17" s="404">
        <v>48000</v>
      </c>
      <c r="S17" s="302"/>
    </row>
    <row r="18" spans="12:14" ht="15">
      <c r="L18" t="s">
        <v>387</v>
      </c>
      <c r="M18">
        <v>46</v>
      </c>
      <c r="N18" s="89">
        <f>46*40</f>
        <v>1840</v>
      </c>
    </row>
    <row r="19" spans="12:20" ht="15">
      <c r="L19" t="s">
        <v>388</v>
      </c>
      <c r="M19">
        <v>400</v>
      </c>
      <c r="N19">
        <f>395*40</f>
        <v>15800</v>
      </c>
      <c r="Q19" s="89">
        <v>85147</v>
      </c>
      <c r="T19">
        <v>15155</v>
      </c>
    </row>
    <row r="20" spans="12:20" ht="15">
      <c r="L20" t="s">
        <v>389</v>
      </c>
      <c r="M20">
        <v>140</v>
      </c>
      <c r="N20" s="393">
        <f>140*22.5</f>
        <v>3150</v>
      </c>
      <c r="T20">
        <v>3160</v>
      </c>
    </row>
    <row r="21" spans="12:20" ht="15">
      <c r="L21" t="s">
        <v>390</v>
      </c>
      <c r="M21">
        <v>1634</v>
      </c>
      <c r="N21">
        <f>1634*10</f>
        <v>16340</v>
      </c>
      <c r="T21">
        <v>5078</v>
      </c>
    </row>
    <row r="22" spans="1:20" ht="17.25">
      <c r="A22" s="700" t="s">
        <v>331</v>
      </c>
      <c r="B22" s="700"/>
      <c r="C22" s="700"/>
      <c r="D22" s="700"/>
      <c r="E22" s="700"/>
      <c r="F22" s="700"/>
      <c r="G22" s="700"/>
      <c r="H22" s="700"/>
      <c r="I22" s="700"/>
      <c r="J22" s="700"/>
      <c r="K22" s="700"/>
      <c r="L22" s="700"/>
      <c r="N22" s="1">
        <f>SUM(N17:N21)</f>
        <v>85130</v>
      </c>
      <c r="P22">
        <f>N22-85143</f>
        <v>-13</v>
      </c>
      <c r="T22">
        <v>1120</v>
      </c>
    </row>
    <row r="23" spans="1:20" ht="18">
      <c r="A23" s="709"/>
      <c r="B23" s="709"/>
      <c r="C23" s="709"/>
      <c r="D23" s="709"/>
      <c r="E23" s="709"/>
      <c r="F23" s="299"/>
      <c r="G23" s="299"/>
      <c r="H23" s="299"/>
      <c r="I23" s="303"/>
      <c r="J23" s="86"/>
      <c r="T23">
        <v>120</v>
      </c>
    </row>
    <row r="24" spans="1:20" ht="15.75" customHeight="1">
      <c r="A24" s="332" t="s">
        <v>0</v>
      </c>
      <c r="B24" s="332" t="s">
        <v>193</v>
      </c>
      <c r="C24" s="719" t="s">
        <v>328</v>
      </c>
      <c r="D24" s="719"/>
      <c r="E24" s="719"/>
      <c r="F24" s="719"/>
      <c r="G24" s="719" t="s">
        <v>329</v>
      </c>
      <c r="H24" s="719"/>
      <c r="I24" s="719"/>
      <c r="J24" s="719"/>
      <c r="K24" s="343" t="s">
        <v>330</v>
      </c>
      <c r="L24" s="2" t="s">
        <v>313</v>
      </c>
      <c r="T24">
        <f>SUM(T19:T23)</f>
        <v>24633</v>
      </c>
    </row>
    <row r="25" spans="1:12" ht="25.5">
      <c r="A25" s="336"/>
      <c r="B25" s="336"/>
      <c r="C25" s="473" t="s">
        <v>292</v>
      </c>
      <c r="D25" s="340" t="s">
        <v>293</v>
      </c>
      <c r="E25" s="340" t="s">
        <v>294</v>
      </c>
      <c r="F25" s="344" t="s">
        <v>196</v>
      </c>
      <c r="G25" s="473" t="s">
        <v>292</v>
      </c>
      <c r="H25" s="340" t="s">
        <v>293</v>
      </c>
      <c r="I25" s="340" t="s">
        <v>294</v>
      </c>
      <c r="J25" s="313" t="s">
        <v>196</v>
      </c>
      <c r="K25" s="343"/>
      <c r="L25" s="2"/>
    </row>
    <row r="26" spans="1:12" ht="15">
      <c r="A26" s="334"/>
      <c r="B26" s="334" t="s">
        <v>287</v>
      </c>
      <c r="C26" s="474">
        <v>117</v>
      </c>
      <c r="D26" s="341">
        <v>0.1</v>
      </c>
      <c r="E26" s="341">
        <f>+D26*C26</f>
        <v>11.700000000000001</v>
      </c>
      <c r="F26" s="326">
        <f>+E26*$C$36</f>
        <v>1170.1715039577837</v>
      </c>
      <c r="G26" s="474">
        <v>0</v>
      </c>
      <c r="H26" s="341">
        <v>0.03</v>
      </c>
      <c r="I26" s="341">
        <f>+H26*G26</f>
        <v>0</v>
      </c>
      <c r="J26" s="326">
        <f>+I26*$C$36</f>
        <v>0</v>
      </c>
      <c r="K26" s="304">
        <f aca="true" t="shared" si="2" ref="K26:K31">+E26+I26</f>
        <v>11.700000000000001</v>
      </c>
      <c r="L26" s="338">
        <f>+K26*$C$36</f>
        <v>1170.1715039577837</v>
      </c>
    </row>
    <row r="27" spans="1:12" ht="15">
      <c r="A27" s="334"/>
      <c r="B27" s="334" t="s">
        <v>288</v>
      </c>
      <c r="C27" s="474">
        <v>110</v>
      </c>
      <c r="D27" s="341">
        <v>0.1</v>
      </c>
      <c r="E27" s="341">
        <f>+D27*C27</f>
        <v>11</v>
      </c>
      <c r="F27" s="326">
        <f>+E27*$C$36</f>
        <v>1100.1612430372325</v>
      </c>
      <c r="G27" s="474"/>
      <c r="H27" s="341">
        <v>0.03</v>
      </c>
      <c r="I27" s="341">
        <f>+H27*G27</f>
        <v>0</v>
      </c>
      <c r="J27" s="326">
        <f>+I27*$C$36</f>
        <v>0</v>
      </c>
      <c r="K27" s="304">
        <f t="shared" si="2"/>
        <v>11</v>
      </c>
      <c r="L27" s="338">
        <f>+K27*$C$36</f>
        <v>1100.1612430372325</v>
      </c>
    </row>
    <row r="28" spans="1:12" ht="15">
      <c r="A28" s="334"/>
      <c r="B28" s="334" t="s">
        <v>289</v>
      </c>
      <c r="C28" s="474">
        <v>250</v>
      </c>
      <c r="D28" s="341">
        <v>0.1</v>
      </c>
      <c r="E28" s="341">
        <f>+D28*C28</f>
        <v>25</v>
      </c>
      <c r="F28" s="326">
        <f>+E28*$C$36</f>
        <v>2500.3664614482554</v>
      </c>
      <c r="G28" s="474">
        <v>274</v>
      </c>
      <c r="H28" s="341">
        <v>0.03</v>
      </c>
      <c r="I28" s="341">
        <f>+H28*G28</f>
        <v>8.219999999999999</v>
      </c>
      <c r="J28" s="326">
        <f>+I28*$C$36</f>
        <v>822.1204925241864</v>
      </c>
      <c r="K28" s="304">
        <f t="shared" si="2"/>
        <v>33.22</v>
      </c>
      <c r="L28" s="338">
        <f>+K28*$C$36</f>
        <v>3322.486953972442</v>
      </c>
    </row>
    <row r="29" spans="1:15" ht="15">
      <c r="A29" s="334"/>
      <c r="B29" s="334" t="s">
        <v>290</v>
      </c>
      <c r="C29" s="474">
        <v>100</v>
      </c>
      <c r="D29" s="341">
        <v>0.1</v>
      </c>
      <c r="E29" s="341">
        <f>+D29*C29</f>
        <v>10</v>
      </c>
      <c r="F29" s="326">
        <f>+E29*$C$36</f>
        <v>1000.1465845793023</v>
      </c>
      <c r="G29" s="474"/>
      <c r="H29" s="341">
        <v>0.03</v>
      </c>
      <c r="I29" s="341">
        <f>+H29*G29</f>
        <v>0</v>
      </c>
      <c r="J29" s="326">
        <f>+I29*$C$36</f>
        <v>0</v>
      </c>
      <c r="K29" s="304">
        <f t="shared" si="2"/>
        <v>10</v>
      </c>
      <c r="L29" s="338">
        <f>+K29*$C$36</f>
        <v>1000.1465845793023</v>
      </c>
      <c r="O29">
        <f>600*10</f>
        <v>6000</v>
      </c>
    </row>
    <row r="30" spans="1:15" ht="15">
      <c r="A30" s="334"/>
      <c r="B30" s="334" t="s">
        <v>295</v>
      </c>
      <c r="C30" s="474">
        <v>23</v>
      </c>
      <c r="D30" s="341">
        <v>0.1</v>
      </c>
      <c r="E30" s="341">
        <f>+D30*C30</f>
        <v>2.3000000000000003</v>
      </c>
      <c r="F30" s="326">
        <f>+E30*$C$36</f>
        <v>230.03371445323955</v>
      </c>
      <c r="G30" s="474"/>
      <c r="H30" s="341">
        <v>0.03</v>
      </c>
      <c r="I30" s="341">
        <f>+H30*G30</f>
        <v>0</v>
      </c>
      <c r="J30" s="326">
        <f>+I30*$C$36</f>
        <v>0</v>
      </c>
      <c r="K30" s="304">
        <f t="shared" si="2"/>
        <v>2.3000000000000003</v>
      </c>
      <c r="L30" s="338">
        <f>+K30*$C$36</f>
        <v>230.03371445323955</v>
      </c>
      <c r="O30">
        <f>280*3</f>
        <v>840</v>
      </c>
    </row>
    <row r="31" spans="1:15" ht="15">
      <c r="A31" s="332"/>
      <c r="B31" s="332" t="s">
        <v>206</v>
      </c>
      <c r="C31" s="475">
        <f>SUM(C26:C30)</f>
        <v>600</v>
      </c>
      <c r="D31" s="332"/>
      <c r="E31" s="332">
        <f>SUM(E26:E30)</f>
        <v>60</v>
      </c>
      <c r="F31" s="327">
        <f>SUM(F26:F30)</f>
        <v>6000.879507475814</v>
      </c>
      <c r="G31" s="475">
        <f>SUM(G26:G30)</f>
        <v>274</v>
      </c>
      <c r="H31" s="332"/>
      <c r="I31" s="332">
        <f>SUM(I26:I30)</f>
        <v>8.219999999999999</v>
      </c>
      <c r="J31" s="327">
        <f>SUM(J26:J30)</f>
        <v>822.1204925241864</v>
      </c>
      <c r="K31" s="304">
        <f t="shared" si="2"/>
        <v>68.22</v>
      </c>
      <c r="L31" s="339">
        <f>SUM(L26:L30)</f>
        <v>6823.000000000001</v>
      </c>
      <c r="O31">
        <f>SUM(O29:O30)</f>
        <v>6840</v>
      </c>
    </row>
    <row r="32" spans="1:10" ht="15">
      <c r="A32" s="315"/>
      <c r="B32" s="315"/>
      <c r="C32" s="317"/>
      <c r="D32" s="317"/>
      <c r="E32" s="317"/>
      <c r="F32" s="317"/>
      <c r="G32" s="317"/>
      <c r="H32" s="317"/>
      <c r="I32" s="315"/>
      <c r="J32" s="315"/>
    </row>
    <row r="33" spans="1:10" ht="15">
      <c r="A33" s="315"/>
      <c r="B33" s="315"/>
      <c r="C33" s="317"/>
      <c r="D33" s="317"/>
      <c r="E33" s="315"/>
      <c r="F33" s="315"/>
      <c r="G33" s="315"/>
      <c r="H33" s="315"/>
      <c r="I33" s="315"/>
      <c r="J33" s="315"/>
    </row>
    <row r="34" spans="3:9" ht="15">
      <c r="C34" s="342"/>
      <c r="D34" s="342"/>
      <c r="E34" s="342"/>
      <c r="F34" s="342"/>
      <c r="G34" s="342"/>
      <c r="H34" s="342"/>
      <c r="I34" s="302"/>
    </row>
    <row r="35" spans="2:9" ht="15">
      <c r="B35" s="4" t="s">
        <v>141</v>
      </c>
      <c r="C35" s="721" t="s">
        <v>305</v>
      </c>
      <c r="D35" s="721"/>
      <c r="E35" s="342"/>
      <c r="F35" s="342"/>
      <c r="G35" s="342"/>
      <c r="H35" s="342"/>
      <c r="I35" s="302"/>
    </row>
    <row r="36" spans="2:11" ht="15">
      <c r="B36">
        <v>6823</v>
      </c>
      <c r="C36" s="718">
        <f>+B36/K31</f>
        <v>100.01465845793022</v>
      </c>
      <c r="D36" s="718"/>
      <c r="E36" s="342"/>
      <c r="F36" s="342"/>
      <c r="G36" s="342"/>
      <c r="H36" s="342"/>
      <c r="I36" s="302"/>
      <c r="K36">
        <f>280*3</f>
        <v>840</v>
      </c>
    </row>
    <row r="60" spans="1:4" ht="15">
      <c r="A60" s="342"/>
      <c r="B60" s="1"/>
      <c r="C60" s="1"/>
      <c r="D60" s="406"/>
    </row>
    <row r="61" spans="1:4" ht="15">
      <c r="A61" s="342"/>
      <c r="D61" s="89"/>
    </row>
    <row r="62" ht="15">
      <c r="A62" s="342"/>
    </row>
    <row r="63" spans="1:10" ht="15">
      <c r="A63" s="342"/>
      <c r="D63" s="720" t="s">
        <v>393</v>
      </c>
      <c r="E63" s="720"/>
      <c r="F63" s="4" t="s">
        <v>397</v>
      </c>
      <c r="J63" s="404">
        <v>85143</v>
      </c>
    </row>
    <row r="64" spans="1:4" ht="15">
      <c r="A64" s="342"/>
      <c r="B64" s="405"/>
      <c r="D64" s="407"/>
    </row>
    <row r="65" spans="1:7" ht="15">
      <c r="A65" s="79"/>
      <c r="D65" s="342">
        <v>1</v>
      </c>
      <c r="E65" s="4" t="s">
        <v>392</v>
      </c>
      <c r="F65" s="406">
        <v>16</v>
      </c>
      <c r="G65" s="406">
        <v>48000</v>
      </c>
    </row>
    <row r="66" spans="1:7" ht="15">
      <c r="A66" s="79"/>
      <c r="D66" s="342">
        <v>2</v>
      </c>
      <c r="E66" t="s">
        <v>387</v>
      </c>
      <c r="F66" s="89">
        <v>46</v>
      </c>
      <c r="G66" s="406">
        <f>46*40</f>
        <v>1840</v>
      </c>
    </row>
    <row r="67" spans="4:12" ht="15">
      <c r="D67" s="342">
        <v>3</v>
      </c>
      <c r="E67" t="s">
        <v>388</v>
      </c>
      <c r="F67">
        <v>882</v>
      </c>
      <c r="G67" s="4">
        <f>882*40</f>
        <v>35280</v>
      </c>
      <c r="J67" s="393">
        <f>G67+G68</f>
        <v>35280</v>
      </c>
      <c r="L67">
        <f>J67/40</f>
        <v>882</v>
      </c>
    </row>
    <row r="68" spans="4:7" ht="30.75">
      <c r="D68" s="342">
        <v>4</v>
      </c>
      <c r="E68" s="405" t="s">
        <v>391</v>
      </c>
      <c r="F68">
        <v>0</v>
      </c>
      <c r="G68" s="408">
        <v>0</v>
      </c>
    </row>
    <row r="69" spans="4:7" ht="15">
      <c r="D69" s="79"/>
      <c r="G69" s="393"/>
    </row>
    <row r="70" spans="4:7" ht="15">
      <c r="D70" s="79"/>
      <c r="G70" s="1">
        <f>SUM(G65:G69)</f>
        <v>85120</v>
      </c>
    </row>
    <row r="72" ht="15">
      <c r="G72" s="393"/>
    </row>
    <row r="73" spans="4:10" ht="15">
      <c r="D73" s="720" t="s">
        <v>394</v>
      </c>
      <c r="E73" s="720"/>
      <c r="J73" s="404">
        <v>67971</v>
      </c>
    </row>
    <row r="75" spans="5:7" ht="15">
      <c r="E75" s="4" t="s">
        <v>395</v>
      </c>
      <c r="F75">
        <v>3496</v>
      </c>
      <c r="G75">
        <f>F75*10</f>
        <v>34960</v>
      </c>
    </row>
    <row r="76" ht="15">
      <c r="E76" s="4"/>
    </row>
    <row r="77" spans="5:10" ht="15">
      <c r="E77" s="4" t="s">
        <v>396</v>
      </c>
      <c r="F77" s="89">
        <v>11002</v>
      </c>
      <c r="G77">
        <f>F77*3</f>
        <v>33006</v>
      </c>
      <c r="J77">
        <f>J73-G77</f>
        <v>34965</v>
      </c>
    </row>
    <row r="78" ht="15">
      <c r="K78">
        <f>J77/10</f>
        <v>3496.5</v>
      </c>
    </row>
    <row r="79" ht="15">
      <c r="G79">
        <f>SUM(G75:G78)</f>
        <v>67966</v>
      </c>
    </row>
  </sheetData>
  <sheetProtection/>
  <mergeCells count="32">
    <mergeCell ref="D73:E73"/>
    <mergeCell ref="D63:E63"/>
    <mergeCell ref="C35:D35"/>
    <mergeCell ref="F4:F5"/>
    <mergeCell ref="R4:R5"/>
    <mergeCell ref="O3:R3"/>
    <mergeCell ref="H4:H5"/>
    <mergeCell ref="I4:I5"/>
    <mergeCell ref="K3:M3"/>
    <mergeCell ref="M4:M5"/>
    <mergeCell ref="C36:D36"/>
    <mergeCell ref="C24:F24"/>
    <mergeCell ref="G24:J24"/>
    <mergeCell ref="A22:L22"/>
    <mergeCell ref="A23:E23"/>
    <mergeCell ref="L4:L5"/>
    <mergeCell ref="Q4:Q5"/>
    <mergeCell ref="A2:Q2"/>
    <mergeCell ref="J4:J5"/>
    <mergeCell ref="N4:N5"/>
    <mergeCell ref="G3:J3"/>
    <mergeCell ref="C3:F3"/>
    <mergeCell ref="A1:T1"/>
    <mergeCell ref="E4:E5"/>
    <mergeCell ref="C4:C5"/>
    <mergeCell ref="D4:D5"/>
    <mergeCell ref="G4:G5"/>
    <mergeCell ref="K4:K5"/>
    <mergeCell ref="S3:S5"/>
    <mergeCell ref="T3:T5"/>
    <mergeCell ref="O4:O5"/>
    <mergeCell ref="P4:P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6:D29"/>
  <sheetViews>
    <sheetView zoomScalePageLayoutView="0" workbookViewId="0" topLeftCell="A1">
      <selection activeCell="A6" sqref="A6:C29"/>
    </sheetView>
  </sheetViews>
  <sheetFormatPr defaultColWidth="9.00390625" defaultRowHeight="15.75"/>
  <cols>
    <col min="1" max="1" width="4.875" style="376" bestFit="1" customWidth="1"/>
    <col min="2" max="2" width="24.375" style="376" customWidth="1"/>
    <col min="3" max="3" width="98.50390625" style="0" customWidth="1"/>
  </cols>
  <sheetData>
    <row r="6" spans="1:4" ht="16.5">
      <c r="A6" s="345" t="s">
        <v>0</v>
      </c>
      <c r="B6" s="345" t="s">
        <v>231</v>
      </c>
      <c r="C6" s="377" t="s">
        <v>344</v>
      </c>
      <c r="D6" s="373"/>
    </row>
    <row r="7" spans="1:4" ht="61.5">
      <c r="A7" s="378">
        <v>1</v>
      </c>
      <c r="B7" s="385" t="s">
        <v>350</v>
      </c>
      <c r="C7" s="379" t="s">
        <v>345</v>
      </c>
      <c r="D7" s="373"/>
    </row>
    <row r="8" spans="1:4" ht="61.5">
      <c r="A8" s="378">
        <v>2</v>
      </c>
      <c r="B8" s="386" t="s">
        <v>351</v>
      </c>
      <c r="C8" s="380" t="s">
        <v>377</v>
      </c>
      <c r="D8" s="373"/>
    </row>
    <row r="9" spans="1:4" ht="93">
      <c r="A9" s="378">
        <v>3</v>
      </c>
      <c r="B9" s="386" t="s">
        <v>346</v>
      </c>
      <c r="C9" s="374"/>
      <c r="D9" s="373"/>
    </row>
    <row r="10" spans="1:4" ht="123.75">
      <c r="A10" s="378">
        <v>3.1</v>
      </c>
      <c r="B10" s="386" t="s">
        <v>348</v>
      </c>
      <c r="C10" s="379" t="s">
        <v>378</v>
      </c>
      <c r="D10" s="373"/>
    </row>
    <row r="11" spans="1:3" ht="201">
      <c r="A11" s="378">
        <v>3.2</v>
      </c>
      <c r="B11" s="389" t="s">
        <v>383</v>
      </c>
      <c r="C11" s="375" t="s">
        <v>349</v>
      </c>
    </row>
    <row r="12" spans="1:4" ht="16.5">
      <c r="A12" s="378">
        <v>4</v>
      </c>
      <c r="B12" s="387" t="s">
        <v>347</v>
      </c>
      <c r="C12" s="381"/>
      <c r="D12" s="373"/>
    </row>
    <row r="13" spans="1:3" ht="309.75">
      <c r="A13" s="378">
        <v>4.1</v>
      </c>
      <c r="B13" s="385" t="s">
        <v>352</v>
      </c>
      <c r="C13" s="382" t="s">
        <v>379</v>
      </c>
    </row>
    <row r="14" spans="1:3" ht="61.5">
      <c r="A14" s="378">
        <v>4.2</v>
      </c>
      <c r="B14" s="386" t="s">
        <v>384</v>
      </c>
      <c r="C14" s="381" t="s">
        <v>353</v>
      </c>
    </row>
    <row r="15" spans="1:3" ht="46.5">
      <c r="A15" s="378">
        <v>5</v>
      </c>
      <c r="B15" s="386" t="s">
        <v>354</v>
      </c>
      <c r="C15" s="381"/>
    </row>
    <row r="16" spans="1:3" ht="186">
      <c r="A16" s="378">
        <v>5.1</v>
      </c>
      <c r="B16" s="388" t="s">
        <v>355</v>
      </c>
      <c r="C16" s="382" t="s">
        <v>380</v>
      </c>
    </row>
    <row r="17" spans="1:3" ht="108">
      <c r="A17" s="378">
        <v>5.2</v>
      </c>
      <c r="B17" s="386" t="s">
        <v>356</v>
      </c>
      <c r="C17" s="375" t="s">
        <v>357</v>
      </c>
    </row>
    <row r="18" spans="1:3" ht="77.25">
      <c r="A18" s="378">
        <v>5.3</v>
      </c>
      <c r="B18" s="386" t="s">
        <v>358</v>
      </c>
      <c r="C18" s="391" t="s">
        <v>381</v>
      </c>
    </row>
    <row r="19" spans="1:3" ht="61.5">
      <c r="A19" s="378">
        <v>5.4</v>
      </c>
      <c r="B19" s="386" t="s">
        <v>359</v>
      </c>
      <c r="C19" s="391" t="s">
        <v>360</v>
      </c>
    </row>
    <row r="20" spans="1:3" ht="309.75">
      <c r="A20" s="378">
        <v>6</v>
      </c>
      <c r="B20" s="386" t="s">
        <v>361</v>
      </c>
      <c r="C20" s="383" t="s">
        <v>382</v>
      </c>
    </row>
    <row r="21" spans="1:3" ht="93">
      <c r="A21" s="378">
        <v>7</v>
      </c>
      <c r="B21" s="386" t="s">
        <v>362</v>
      </c>
      <c r="C21" s="382" t="s">
        <v>363</v>
      </c>
    </row>
    <row r="22" spans="1:3" ht="186">
      <c r="A22" s="378">
        <v>8</v>
      </c>
      <c r="B22" s="386" t="s">
        <v>364</v>
      </c>
      <c r="C22" s="382" t="s">
        <v>365</v>
      </c>
    </row>
    <row r="23" spans="1:3" ht="77.25">
      <c r="A23" s="378">
        <v>9</v>
      </c>
      <c r="B23" s="386" t="s">
        <v>366</v>
      </c>
      <c r="C23" s="374"/>
    </row>
    <row r="24" spans="1:3" ht="77.25">
      <c r="A24" s="378">
        <v>9.1</v>
      </c>
      <c r="B24" s="386" t="s">
        <v>367</v>
      </c>
      <c r="C24" s="390" t="s">
        <v>368</v>
      </c>
    </row>
    <row r="25" spans="1:3" ht="201">
      <c r="A25" s="378">
        <v>9.2</v>
      </c>
      <c r="B25" s="387" t="s">
        <v>369</v>
      </c>
      <c r="C25" s="375" t="s">
        <v>370</v>
      </c>
    </row>
    <row r="26" spans="1:3" ht="108">
      <c r="A26" s="378">
        <v>10</v>
      </c>
      <c r="B26" s="386" t="s">
        <v>371</v>
      </c>
      <c r="C26" s="374"/>
    </row>
    <row r="27" spans="1:3" ht="170.25">
      <c r="A27" s="378">
        <v>10.1</v>
      </c>
      <c r="B27" s="386" t="s">
        <v>372</v>
      </c>
      <c r="C27" s="382" t="s">
        <v>373</v>
      </c>
    </row>
    <row r="28" spans="1:3" ht="186">
      <c r="A28" s="378">
        <v>10.2</v>
      </c>
      <c r="B28" s="386" t="s">
        <v>374</v>
      </c>
      <c r="C28" s="382" t="s">
        <v>375</v>
      </c>
    </row>
    <row r="29" spans="1:3" ht="170.25">
      <c r="A29" s="378">
        <v>10.3</v>
      </c>
      <c r="B29" s="386" t="s">
        <v>376</v>
      </c>
      <c r="C29" s="384" t="s">
        <v>385</v>
      </c>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L63"/>
  <sheetViews>
    <sheetView zoomScalePageLayoutView="0" workbookViewId="0" topLeftCell="A37">
      <selection activeCell="F6" sqref="F6:F61"/>
    </sheetView>
  </sheetViews>
  <sheetFormatPr defaultColWidth="9.00390625" defaultRowHeight="15.75"/>
  <cols>
    <col min="1" max="1" width="4.75390625" style="0" customWidth="1"/>
    <col min="2" max="2" width="19.50390625" style="0" customWidth="1"/>
    <col min="3" max="3" width="10.125" style="0" customWidth="1"/>
    <col min="4" max="4" width="9.125" style="0" customWidth="1"/>
    <col min="5" max="5" width="9.25390625" style="0" customWidth="1"/>
    <col min="6" max="6" width="31.375" style="0" customWidth="1"/>
    <col min="7" max="7" width="10.625" style="0" customWidth="1"/>
  </cols>
  <sheetData>
    <row r="1" spans="1:6" ht="90" customHeight="1">
      <c r="A1" s="732" t="s">
        <v>489</v>
      </c>
      <c r="B1" s="732"/>
      <c r="C1" s="732"/>
      <c r="D1" s="732"/>
      <c r="E1" s="732"/>
      <c r="F1" s="732"/>
    </row>
    <row r="2" spans="1:6" ht="32.25" customHeight="1">
      <c r="A2" s="342"/>
      <c r="F2" s="492" t="s">
        <v>488</v>
      </c>
    </row>
    <row r="3" spans="1:6" ht="28.5" customHeight="1">
      <c r="A3" s="733" t="s">
        <v>0</v>
      </c>
      <c r="B3" s="733" t="s">
        <v>486</v>
      </c>
      <c r="C3" s="729" t="s">
        <v>487</v>
      </c>
      <c r="D3" s="730"/>
      <c r="E3" s="730"/>
      <c r="F3" s="731"/>
    </row>
    <row r="4" spans="1:6" ht="25.5" customHeight="1">
      <c r="A4" s="734"/>
      <c r="B4" s="734"/>
      <c r="C4" s="733" t="s">
        <v>447</v>
      </c>
      <c r="D4" s="726" t="s">
        <v>317</v>
      </c>
      <c r="E4" s="726"/>
      <c r="F4" s="727" t="s">
        <v>480</v>
      </c>
    </row>
    <row r="5" spans="1:6" ht="54" customHeight="1">
      <c r="A5" s="734"/>
      <c r="B5" s="734"/>
      <c r="C5" s="735"/>
      <c r="D5" s="453" t="s">
        <v>478</v>
      </c>
      <c r="E5" s="453" t="s">
        <v>479</v>
      </c>
      <c r="F5" s="728"/>
    </row>
    <row r="6" spans="1:6" s="1" customFormat="1" ht="20.25" customHeight="1">
      <c r="A6" s="377" t="str">
        <f>'DA 4 b'!A5</f>
        <v>I</v>
      </c>
      <c r="B6" s="332" t="str">
        <f>'DA 4 b'!B5</f>
        <v>HUYỆN LẠNG GIANG</v>
      </c>
      <c r="C6" s="444">
        <f>SUM(D6:F6)</f>
        <v>77</v>
      </c>
      <c r="D6" s="444"/>
      <c r="E6" s="444"/>
      <c r="F6" s="456">
        <f>'DA 3 PTSX Theo Trung ương'!M5</f>
        <v>77</v>
      </c>
    </row>
    <row r="7" spans="1:6" s="4" customFormat="1" ht="15">
      <c r="A7" s="455">
        <f>'DA 4 b'!A6</f>
        <v>1</v>
      </c>
      <c r="B7" s="374" t="str">
        <f>'DA 4 b'!B6</f>
        <v>Xã Hương Sơn</v>
      </c>
      <c r="C7" s="454">
        <f>SUM(D7:F7)</f>
        <v>77</v>
      </c>
      <c r="D7" s="454"/>
      <c r="E7" s="454"/>
      <c r="F7" s="456">
        <f>'DA 3 PTSX Theo Trung ương'!M6</f>
        <v>77</v>
      </c>
    </row>
    <row r="8" spans="1:9" s="1" customFormat="1" ht="18.75" customHeight="1">
      <c r="A8" s="377" t="str">
        <f>'DA 4 b'!A7</f>
        <v>II</v>
      </c>
      <c r="B8" s="332" t="str">
        <f>'DA 4 b'!B7</f>
        <v>HUYỆN SƠN ĐỘNG</v>
      </c>
      <c r="C8" s="444">
        <f>SUM(D8:F8)</f>
        <v>13253</v>
      </c>
      <c r="D8" s="444">
        <v>6181</v>
      </c>
      <c r="E8" s="444">
        <v>2700</v>
      </c>
      <c r="F8" s="456">
        <f>'DA 3 PTSX Theo Trung ương'!M7</f>
        <v>4372</v>
      </c>
      <c r="G8" s="457"/>
      <c r="I8" s="407">
        <f>F6+F8+F27+F43+F52+F60</f>
        <v>9516</v>
      </c>
    </row>
    <row r="9" spans="1:6" s="4" customFormat="1" ht="15">
      <c r="A9" s="455">
        <f>'DA 4 b'!A8</f>
        <v>1</v>
      </c>
      <c r="B9" s="374" t="str">
        <f>'DA 4 b'!B8</f>
        <v>Thị trấn An Châu</v>
      </c>
      <c r="C9" s="454">
        <f>SUM(D9:F9)</f>
        <v>166</v>
      </c>
      <c r="D9" s="454"/>
      <c r="E9" s="454"/>
      <c r="F9" s="456">
        <f>'DA 3 PTSX Theo Trung ương'!M8</f>
        <v>166</v>
      </c>
    </row>
    <row r="10" spans="1:6" s="4" customFormat="1" ht="15">
      <c r="A10" s="455">
        <f>'DA 4 b'!A9</f>
        <v>2</v>
      </c>
      <c r="B10" s="374" t="str">
        <f>'DA 4 b'!B9</f>
        <v>Xã Long Sơn</v>
      </c>
      <c r="C10" s="454">
        <f>SUM(D10:F10)</f>
        <v>116</v>
      </c>
      <c r="D10" s="454"/>
      <c r="E10" s="454"/>
      <c r="F10" s="456">
        <f>'DA 3 PTSX Theo Trung ương'!M9</f>
        <v>116</v>
      </c>
    </row>
    <row r="11" spans="1:6" s="4" customFormat="1" ht="15">
      <c r="A11" s="455">
        <f>'DA 4 b'!A10</f>
        <v>3</v>
      </c>
      <c r="B11" s="374" t="str">
        <f>'DA 4 b'!B10</f>
        <v>Xã Tuấn Đạo</v>
      </c>
      <c r="C11" s="454">
        <f aca="true" t="shared" si="0" ref="C11:C59">SUM(D11:F11)</f>
        <v>166</v>
      </c>
      <c r="D11" s="454"/>
      <c r="E11" s="454"/>
      <c r="F11" s="456">
        <f>'DA 3 PTSX Theo Trung ương'!M10</f>
        <v>166</v>
      </c>
    </row>
    <row r="12" spans="1:6" s="4" customFormat="1" ht="15">
      <c r="A12" s="455">
        <f>'DA 4 b'!A11</f>
        <v>4</v>
      </c>
      <c r="B12" s="374" t="str">
        <f>'DA 4 b'!B11</f>
        <v>TT.Tây Yên Tử</v>
      </c>
      <c r="C12" s="454">
        <f t="shared" si="0"/>
        <v>244</v>
      </c>
      <c r="D12" s="454"/>
      <c r="E12" s="454"/>
      <c r="F12" s="456">
        <f>'DA 3 PTSX Theo Trung ương'!M11</f>
        <v>244</v>
      </c>
    </row>
    <row r="13" spans="1:6" s="4" customFormat="1" ht="15">
      <c r="A13" s="455">
        <f>'DA 4 b'!A12</f>
        <v>5</v>
      </c>
      <c r="B13" s="374" t="str">
        <f>'DA 4 b'!B12</f>
        <v>Xã Dương Hưu</v>
      </c>
      <c r="C13" s="454">
        <f t="shared" si="0"/>
        <v>239</v>
      </c>
      <c r="D13" s="454"/>
      <c r="E13" s="454"/>
      <c r="F13" s="456">
        <f>'DA 3 PTSX Theo Trung ương'!M12</f>
        <v>239</v>
      </c>
    </row>
    <row r="14" spans="1:6" s="4" customFormat="1" ht="15">
      <c r="A14" s="455">
        <f>'DA 4 b'!A13</f>
        <v>6</v>
      </c>
      <c r="B14" s="374" t="str">
        <f>'DA 4 b'!B13</f>
        <v>Xã Hữu Sản</v>
      </c>
      <c r="C14" s="454">
        <f t="shared" si="0"/>
        <v>257</v>
      </c>
      <c r="D14" s="454"/>
      <c r="E14" s="454"/>
      <c r="F14" s="456">
        <f>'DA 3 PTSX Theo Trung ương'!M13</f>
        <v>257</v>
      </c>
    </row>
    <row r="15" spans="1:6" s="4" customFormat="1" ht="15">
      <c r="A15" s="455">
        <f>'DA 4 b'!A14</f>
        <v>7</v>
      </c>
      <c r="B15" s="374" t="str">
        <f>'DA 4 b'!B14</f>
        <v>Xã An Lạc</v>
      </c>
      <c r="C15" s="454">
        <f t="shared" si="0"/>
        <v>259</v>
      </c>
      <c r="D15" s="454"/>
      <c r="E15" s="454"/>
      <c r="F15" s="456">
        <f>'DA 3 PTSX Theo Trung ương'!M14</f>
        <v>259</v>
      </c>
    </row>
    <row r="16" spans="1:6" s="4" customFormat="1" ht="15">
      <c r="A16" s="455">
        <f>'DA 4 b'!A15</f>
        <v>8</v>
      </c>
      <c r="B16" s="374" t="str">
        <f>'DA 4 b'!B15</f>
        <v>Xã Vân Sơn</v>
      </c>
      <c r="C16" s="454">
        <f t="shared" si="0"/>
        <v>253</v>
      </c>
      <c r="D16" s="454"/>
      <c r="E16" s="454"/>
      <c r="F16" s="456">
        <f>'DA 3 PTSX Theo Trung ương'!M15</f>
        <v>253</v>
      </c>
    </row>
    <row r="17" spans="1:6" s="4" customFormat="1" ht="15">
      <c r="A17" s="455">
        <f>'DA 4 b'!A16</f>
        <v>9</v>
      </c>
      <c r="B17" s="374" t="str">
        <f>'DA 4 b'!B16</f>
        <v>Xã Lệ Viễn</v>
      </c>
      <c r="C17" s="454">
        <f t="shared" si="0"/>
        <v>249</v>
      </c>
      <c r="D17" s="454"/>
      <c r="E17" s="454"/>
      <c r="F17" s="456">
        <f>'DA 3 PTSX Theo Trung ương'!M16</f>
        <v>249</v>
      </c>
    </row>
    <row r="18" spans="1:6" s="4" customFormat="1" ht="15">
      <c r="A18" s="455">
        <f>'DA 4 b'!A17</f>
        <v>10</v>
      </c>
      <c r="B18" s="374" t="str">
        <f>'DA 4 b'!B17</f>
        <v>Xã Vĩnh An</v>
      </c>
      <c r="C18" s="454">
        <f t="shared" si="0"/>
        <v>249</v>
      </c>
      <c r="D18" s="454"/>
      <c r="E18" s="454"/>
      <c r="F18" s="456">
        <f>'DA 3 PTSX Theo Trung ương'!M17</f>
        <v>249</v>
      </c>
    </row>
    <row r="19" spans="1:6" s="4" customFormat="1" ht="15">
      <c r="A19" s="455">
        <f>'DA 4 b'!A18</f>
        <v>11</v>
      </c>
      <c r="B19" s="374" t="str">
        <f>'DA 4 b'!B18</f>
        <v>Xã An Bá</v>
      </c>
      <c r="C19" s="454">
        <f t="shared" si="0"/>
        <v>248</v>
      </c>
      <c r="D19" s="454"/>
      <c r="E19" s="454"/>
      <c r="F19" s="456">
        <f>'DA 3 PTSX Theo Trung ương'!M18</f>
        <v>248</v>
      </c>
    </row>
    <row r="20" spans="1:6" s="4" customFormat="1" ht="15">
      <c r="A20" s="455">
        <f>'DA 4 b'!A19</f>
        <v>12</v>
      </c>
      <c r="B20" s="374" t="str">
        <f>'DA 4 b'!B19</f>
        <v>Xã Yên Định</v>
      </c>
      <c r="C20" s="454">
        <f t="shared" si="0"/>
        <v>252</v>
      </c>
      <c r="D20" s="454"/>
      <c r="E20" s="454"/>
      <c r="F20" s="456">
        <f>'DA 3 PTSX Theo Trung ương'!M19</f>
        <v>252</v>
      </c>
    </row>
    <row r="21" spans="1:6" s="4" customFormat="1" ht="15">
      <c r="A21" s="455">
        <f>'DA 4 b'!A20</f>
        <v>13</v>
      </c>
      <c r="B21" s="374" t="str">
        <f>'DA 4 b'!B20</f>
        <v>Xã Cẩm Đàn</v>
      </c>
      <c r="C21" s="454">
        <f t="shared" si="0"/>
        <v>263</v>
      </c>
      <c r="D21" s="454"/>
      <c r="E21" s="454"/>
      <c r="F21" s="456">
        <f>'DA 3 PTSX Theo Trung ương'!M20</f>
        <v>263</v>
      </c>
    </row>
    <row r="22" spans="1:6" s="4" customFormat="1" ht="15">
      <c r="A22" s="455">
        <f>'DA 4 b'!A21</f>
        <v>14</v>
      </c>
      <c r="B22" s="374" t="str">
        <f>'DA 4 b'!B21</f>
        <v>Xã Thanh Luận</v>
      </c>
      <c r="C22" s="454">
        <f t="shared" si="0"/>
        <v>254</v>
      </c>
      <c r="D22" s="454"/>
      <c r="E22" s="454"/>
      <c r="F22" s="456">
        <f>'DA 3 PTSX Theo Trung ương'!M21</f>
        <v>254</v>
      </c>
    </row>
    <row r="23" spans="1:6" s="4" customFormat="1" ht="15">
      <c r="A23" s="455">
        <f>'DA 4 b'!A22</f>
        <v>15</v>
      </c>
      <c r="B23" s="374" t="str">
        <f>'DA 4 b'!B22</f>
        <v>Xã Đại Sơn </v>
      </c>
      <c r="C23" s="454">
        <f t="shared" si="0"/>
        <v>249</v>
      </c>
      <c r="D23" s="454"/>
      <c r="E23" s="454"/>
      <c r="F23" s="456">
        <f>'DA 3 PTSX Theo Trung ương'!M22</f>
        <v>249</v>
      </c>
    </row>
    <row r="24" spans="1:6" s="4" customFormat="1" ht="15">
      <c r="A24" s="455">
        <f>'DA 4 b'!A23</f>
        <v>16</v>
      </c>
      <c r="B24" s="374" t="str">
        <f>'DA 4 b'!B23</f>
        <v>Xã Phúc Sơn</v>
      </c>
      <c r="C24" s="454">
        <f t="shared" si="0"/>
        <v>261</v>
      </c>
      <c r="D24" s="454"/>
      <c r="E24" s="454"/>
      <c r="F24" s="456">
        <f>'DA 3 PTSX Theo Trung ương'!M23</f>
        <v>261</v>
      </c>
    </row>
    <row r="25" spans="1:6" s="4" customFormat="1" ht="15">
      <c r="A25" s="455">
        <f>'DA 4 b'!A24</f>
        <v>17</v>
      </c>
      <c r="B25" s="374" t="str">
        <f>'DA 4 b'!B24</f>
        <v>Xã Giáo Liêm</v>
      </c>
      <c r="C25" s="454">
        <f t="shared" si="0"/>
        <v>260</v>
      </c>
      <c r="D25" s="454"/>
      <c r="E25" s="454"/>
      <c r="F25" s="456">
        <f>'DA 3 PTSX Theo Trung ương'!M24</f>
        <v>260</v>
      </c>
    </row>
    <row r="26" spans="1:6" s="150" customFormat="1" ht="15">
      <c r="A26" s="298">
        <v>18</v>
      </c>
      <c r="B26" s="243" t="s">
        <v>190</v>
      </c>
      <c r="C26" s="238">
        <f t="shared" si="0"/>
        <v>387</v>
      </c>
      <c r="D26" s="238"/>
      <c r="E26" s="238"/>
      <c r="F26" s="456">
        <f>'DA 3 PTSX Theo Trung ương'!M25</f>
        <v>387</v>
      </c>
    </row>
    <row r="27" spans="1:6" ht="15">
      <c r="A27" s="377" t="str">
        <f>'DA 4 b'!A25</f>
        <v>III</v>
      </c>
      <c r="B27" s="332" t="str">
        <f>'DA 4 b'!B25</f>
        <v> HUYỆN LỤC NGẠN</v>
      </c>
      <c r="C27" s="444">
        <f t="shared" si="0"/>
        <v>2648</v>
      </c>
      <c r="D27" s="444"/>
      <c r="E27" s="444"/>
      <c r="F27" s="456">
        <f>'DA 3 PTSX Theo Trung ương'!M26</f>
        <v>2648</v>
      </c>
    </row>
    <row r="28" spans="1:6" s="4" customFormat="1" ht="15">
      <c r="A28" s="455">
        <f>'DA 4 b'!A26</f>
        <v>1</v>
      </c>
      <c r="B28" s="374" t="str">
        <f>'DA 4 b'!B26</f>
        <v>Xã Sa Lý</v>
      </c>
      <c r="C28" s="454">
        <f t="shared" si="0"/>
        <v>239</v>
      </c>
      <c r="D28" s="454"/>
      <c r="E28" s="454"/>
      <c r="F28" s="456">
        <f>'DA 3 PTSX Theo Trung ương'!M27</f>
        <v>239</v>
      </c>
    </row>
    <row r="29" spans="1:6" s="4" customFormat="1" ht="15">
      <c r="A29" s="455">
        <f>'DA 4 b'!A27</f>
        <v>2</v>
      </c>
      <c r="B29" s="454" t="str">
        <f>'DA 4 b'!B27</f>
        <v>Xã Phong Minh</v>
      </c>
      <c r="C29" s="454">
        <f t="shared" si="0"/>
        <v>244</v>
      </c>
      <c r="D29" s="454"/>
      <c r="E29" s="454"/>
      <c r="F29" s="456">
        <f>'DA 3 PTSX Theo Trung ương'!M28</f>
        <v>244</v>
      </c>
    </row>
    <row r="30" spans="1:6" s="4" customFormat="1" ht="15">
      <c r="A30" s="455">
        <f>'DA 4 b'!A28</f>
        <v>3</v>
      </c>
      <c r="B30" s="374" t="str">
        <f>'DA 4 b'!B28</f>
        <v>Xã Phong Vân</v>
      </c>
      <c r="C30" s="454">
        <f t="shared" si="0"/>
        <v>246</v>
      </c>
      <c r="D30" s="454"/>
      <c r="E30" s="454"/>
      <c r="F30" s="456">
        <f>'DA 3 PTSX Theo Trung ương'!M29</f>
        <v>246</v>
      </c>
    </row>
    <row r="31" spans="1:6" s="4" customFormat="1" ht="15">
      <c r="A31" s="455">
        <f>'DA 4 b'!A29</f>
        <v>4</v>
      </c>
      <c r="B31" s="374" t="str">
        <f>'DA 4 b'!B29</f>
        <v>Xã Tân Sơn </v>
      </c>
      <c r="C31" s="454">
        <f t="shared" si="0"/>
        <v>228</v>
      </c>
      <c r="D31" s="454"/>
      <c r="E31" s="454"/>
      <c r="F31" s="456">
        <f>'DA 3 PTSX Theo Trung ương'!M30</f>
        <v>228</v>
      </c>
    </row>
    <row r="32" spans="1:6" s="4" customFormat="1" ht="15">
      <c r="A32" s="455">
        <f>'DA 4 b'!A30</f>
        <v>5</v>
      </c>
      <c r="B32" s="374" t="str">
        <f>'DA 4 b'!B30</f>
        <v>Xã Cấm Sơn</v>
      </c>
      <c r="C32" s="454">
        <f t="shared" si="0"/>
        <v>230</v>
      </c>
      <c r="D32" s="454"/>
      <c r="E32" s="454"/>
      <c r="F32" s="456">
        <f>'DA 3 PTSX Theo Trung ương'!M31</f>
        <v>230</v>
      </c>
    </row>
    <row r="33" spans="1:6" s="4" customFormat="1" ht="15">
      <c r="A33" s="455">
        <f>'DA 4 b'!A31</f>
        <v>6</v>
      </c>
      <c r="B33" s="374" t="str">
        <f>'DA 4 b'!B31</f>
        <v>Xã Hộ Đáp</v>
      </c>
      <c r="C33" s="454">
        <f t="shared" si="0"/>
        <v>238</v>
      </c>
      <c r="D33" s="454"/>
      <c r="E33" s="454"/>
      <c r="F33" s="456">
        <f>'DA 3 PTSX Theo Trung ương'!M32</f>
        <v>238</v>
      </c>
    </row>
    <row r="34" spans="1:6" s="4" customFormat="1" ht="15">
      <c r="A34" s="455">
        <f>'DA 4 b'!A32</f>
        <v>7</v>
      </c>
      <c r="B34" s="374" t="str">
        <f>'DA 4 b'!B32</f>
        <v>Xã Sơn Hải</v>
      </c>
      <c r="C34" s="454">
        <f t="shared" si="0"/>
        <v>244</v>
      </c>
      <c r="D34" s="454"/>
      <c r="E34" s="454"/>
      <c r="F34" s="456">
        <f>'DA 3 PTSX Theo Trung ương'!M33</f>
        <v>244</v>
      </c>
    </row>
    <row r="35" spans="1:6" s="4" customFormat="1" ht="15">
      <c r="A35" s="455">
        <f>'DA 4 b'!A33</f>
        <v>8</v>
      </c>
      <c r="B35" s="374" t="str">
        <f>'DA 4 b'!B33</f>
        <v>Xã Phú Nhuận</v>
      </c>
      <c r="C35" s="454">
        <f t="shared" si="0"/>
        <v>255</v>
      </c>
      <c r="D35" s="454"/>
      <c r="E35" s="454"/>
      <c r="F35" s="456">
        <f>'DA 3 PTSX Theo Trung ương'!M34</f>
        <v>255</v>
      </c>
    </row>
    <row r="36" spans="1:6" s="4" customFormat="1" ht="15">
      <c r="A36" s="455">
        <f>'DA 4 b'!A34</f>
        <v>9</v>
      </c>
      <c r="B36" s="374" t="str">
        <f>'DA 4 b'!B34</f>
        <v>Xã Đèo Gia </v>
      </c>
      <c r="C36" s="454">
        <f t="shared" si="0"/>
        <v>247</v>
      </c>
      <c r="D36" s="454"/>
      <c r="E36" s="454"/>
      <c r="F36" s="456">
        <f>'DA 3 PTSX Theo Trung ương'!M35</f>
        <v>247</v>
      </c>
    </row>
    <row r="37" spans="1:6" s="4" customFormat="1" ht="15">
      <c r="A37" s="455">
        <f>'DA 4 b'!A35</f>
        <v>10</v>
      </c>
      <c r="B37" s="374" t="str">
        <f>'DA 4 b'!B35</f>
        <v>Xã Tân Lập</v>
      </c>
      <c r="C37" s="454">
        <f t="shared" si="0"/>
        <v>166</v>
      </c>
      <c r="D37" s="454"/>
      <c r="E37" s="454"/>
      <c r="F37" s="456">
        <f>'DA 3 PTSX Theo Trung ương'!M36</f>
        <v>166</v>
      </c>
    </row>
    <row r="38" spans="1:6" s="4" customFormat="1" ht="15">
      <c r="A38" s="455">
        <f>'DA 4 b'!A36</f>
        <v>11</v>
      </c>
      <c r="B38" s="374" t="str">
        <f>'DA 4 b'!B36</f>
        <v>Xã Kim Sơn </v>
      </c>
      <c r="C38" s="454">
        <f t="shared" si="0"/>
        <v>78</v>
      </c>
      <c r="D38" s="454"/>
      <c r="E38" s="454"/>
      <c r="F38" s="456">
        <f>'DA 3 PTSX Theo Trung ương'!M37</f>
        <v>78</v>
      </c>
    </row>
    <row r="39" spans="1:6" s="4" customFormat="1" ht="15">
      <c r="A39" s="455">
        <f>'DA 4 b'!A37</f>
        <v>12</v>
      </c>
      <c r="B39" s="374" t="str">
        <f>'DA 4 b'!B37</f>
        <v>Xã Thanh Hải</v>
      </c>
      <c r="C39" s="454">
        <f t="shared" si="0"/>
        <v>39</v>
      </c>
      <c r="D39" s="454"/>
      <c r="E39" s="454"/>
      <c r="F39" s="456">
        <f>'DA 3 PTSX Theo Trung ương'!M38</f>
        <v>39</v>
      </c>
    </row>
    <row r="40" spans="1:6" s="4" customFormat="1" ht="15">
      <c r="A40" s="455">
        <f>'DA 4 b'!A38</f>
        <v>13</v>
      </c>
      <c r="B40" s="374" t="str">
        <f>'DA 4 b'!B38</f>
        <v>Xã Biên Sơn</v>
      </c>
      <c r="C40" s="454">
        <f t="shared" si="0"/>
        <v>39</v>
      </c>
      <c r="D40" s="454"/>
      <c r="E40" s="454"/>
      <c r="F40" s="456">
        <f>'DA 3 PTSX Theo Trung ương'!M39</f>
        <v>39</v>
      </c>
    </row>
    <row r="41" spans="1:6" s="4" customFormat="1" ht="15">
      <c r="A41" s="455">
        <f>'DA 4 b'!A39</f>
        <v>14</v>
      </c>
      <c r="B41" s="374" t="str">
        <f>'DA 4 b'!B39</f>
        <v>Xã Tân Hoa</v>
      </c>
      <c r="C41" s="454">
        <f t="shared" si="0"/>
        <v>116</v>
      </c>
      <c r="D41" s="454"/>
      <c r="E41" s="454"/>
      <c r="F41" s="456">
        <f>'DA 3 PTSX Theo Trung ương'!M40</f>
        <v>116</v>
      </c>
    </row>
    <row r="42" spans="1:6" s="4" customFormat="1" ht="15">
      <c r="A42" s="455">
        <f>'DA 4 b'!A40</f>
        <v>15</v>
      </c>
      <c r="B42" s="374" t="str">
        <f>'DA 4 b'!B40</f>
        <v>Xã Kiên Thành</v>
      </c>
      <c r="C42" s="454">
        <f t="shared" si="0"/>
        <v>39</v>
      </c>
      <c r="D42" s="454"/>
      <c r="E42" s="454"/>
      <c r="F42" s="456">
        <f>'DA 3 PTSX Theo Trung ương'!M41</f>
        <v>39</v>
      </c>
    </row>
    <row r="43" spans="1:6" ht="15">
      <c r="A43" s="235" t="str">
        <f>'DA 4 b'!A41</f>
        <v>IV</v>
      </c>
      <c r="B43" s="132" t="str">
        <f>'DA 4 b'!B41</f>
        <v>HUYỆN LỤC NAM</v>
      </c>
      <c r="C43" s="444">
        <f t="shared" si="0"/>
        <v>1472</v>
      </c>
      <c r="D43" s="255"/>
      <c r="E43" s="255"/>
      <c r="F43" s="456">
        <f>'DA 3 PTSX Theo Trung ương'!M42</f>
        <v>1472</v>
      </c>
    </row>
    <row r="44" spans="1:6" s="150" customFormat="1" ht="15">
      <c r="A44" s="298">
        <f>'DA 4 b'!A42</f>
        <v>1</v>
      </c>
      <c r="B44" s="243" t="str">
        <f>'DA 4 b'!B42</f>
        <v>Xã Bình Sơn</v>
      </c>
      <c r="C44" s="238">
        <f t="shared" si="0"/>
        <v>230</v>
      </c>
      <c r="D44" s="238"/>
      <c r="E44" s="238"/>
      <c r="F44" s="456">
        <f>'DA 3 PTSX Theo Trung ương'!M43</f>
        <v>230</v>
      </c>
    </row>
    <row r="45" spans="1:6" s="150" customFormat="1" ht="15">
      <c r="A45" s="298">
        <f>'DA 4 b'!A43</f>
        <v>2</v>
      </c>
      <c r="B45" s="243" t="str">
        <f>'DA 4 b'!B43</f>
        <v>Xã Lục Sơn</v>
      </c>
      <c r="C45" s="238">
        <f t="shared" si="0"/>
        <v>230</v>
      </c>
      <c r="D45" s="238"/>
      <c r="E45" s="238"/>
      <c r="F45" s="456">
        <f>'DA 3 PTSX Theo Trung ương'!M44</f>
        <v>230</v>
      </c>
    </row>
    <row r="46" spans="1:11" s="150" customFormat="1" ht="15">
      <c r="A46" s="298">
        <f>'DA 4 b'!A44</f>
        <v>3</v>
      </c>
      <c r="B46" s="243" t="str">
        <f>'DA 4 b'!B44</f>
        <v>Xã Trường Sơn</v>
      </c>
      <c r="C46" s="238">
        <f t="shared" si="0"/>
        <v>226</v>
      </c>
      <c r="D46" s="238"/>
      <c r="E46" s="238"/>
      <c r="F46" s="456">
        <f>'DA 3 PTSX Theo Trung ương'!M45</f>
        <v>226</v>
      </c>
      <c r="K46" s="150">
        <v>4372</v>
      </c>
    </row>
    <row r="47" spans="1:11" s="150" customFormat="1" ht="15">
      <c r="A47" s="298">
        <f>'DA 4 b'!A45</f>
        <v>4</v>
      </c>
      <c r="B47" s="243" t="str">
        <f>'DA 4 b'!B45</f>
        <v>Xã Vô Tranh</v>
      </c>
      <c r="C47" s="238">
        <f t="shared" si="0"/>
        <v>233</v>
      </c>
      <c r="D47" s="238"/>
      <c r="E47" s="238"/>
      <c r="F47" s="456">
        <f>'DA 3 PTSX Theo Trung ương'!M46</f>
        <v>233</v>
      </c>
      <c r="K47" s="150">
        <v>2648</v>
      </c>
    </row>
    <row r="48" spans="1:11" s="4" customFormat="1" ht="15">
      <c r="A48" s="298">
        <f>'DA 4 b'!A46</f>
        <v>5</v>
      </c>
      <c r="B48" s="243" t="str">
        <f>'DA 4 b'!B46</f>
        <v>Xã Trường Giang</v>
      </c>
      <c r="C48" s="454">
        <f t="shared" si="0"/>
        <v>116</v>
      </c>
      <c r="D48" s="238"/>
      <c r="E48" s="238"/>
      <c r="F48" s="456">
        <f>'DA 3 PTSX Theo Trung ương'!M47</f>
        <v>116</v>
      </c>
      <c r="K48" s="4">
        <v>1472</v>
      </c>
    </row>
    <row r="49" spans="1:11" s="4" customFormat="1" ht="15">
      <c r="A49" s="455">
        <f>'DA 4 b'!A47</f>
        <v>6</v>
      </c>
      <c r="B49" s="374" t="str">
        <f>'DA 4 b'!B47</f>
        <v>Xã Nghĩa Phương</v>
      </c>
      <c r="C49" s="454">
        <f t="shared" si="0"/>
        <v>166</v>
      </c>
      <c r="D49" s="454"/>
      <c r="E49" s="454"/>
      <c r="F49" s="456">
        <f>'DA 3 PTSX Theo Trung ương'!M48</f>
        <v>166</v>
      </c>
      <c r="K49" s="4">
        <v>947</v>
      </c>
    </row>
    <row r="50" spans="1:11" s="4" customFormat="1" ht="15">
      <c r="A50" s="455">
        <f>'DA 4 b'!A48</f>
        <v>11</v>
      </c>
      <c r="B50" s="374" t="str">
        <f>'DA 4 b'!B48</f>
        <v>Xã Tam Dị</v>
      </c>
      <c r="C50" s="454">
        <f t="shared" si="0"/>
        <v>155</v>
      </c>
      <c r="D50" s="454"/>
      <c r="E50" s="454"/>
      <c r="F50" s="456">
        <f>'DA 3 PTSX Theo Trung ương'!M49</f>
        <v>155</v>
      </c>
      <c r="K50" s="4">
        <v>571</v>
      </c>
    </row>
    <row r="51" spans="1:11" s="4" customFormat="1" ht="15">
      <c r="A51" s="455">
        <f>'DA 4 b'!A49</f>
        <v>12</v>
      </c>
      <c r="B51" s="374" t="str">
        <f>'DA 4 b'!B49</f>
        <v>Xã Bảo Sơn</v>
      </c>
      <c r="C51" s="454">
        <f t="shared" si="0"/>
        <v>116</v>
      </c>
      <c r="D51" s="454"/>
      <c r="E51" s="454"/>
      <c r="F51" s="456">
        <f>'DA 3 PTSX Theo Trung ương'!M50</f>
        <v>116</v>
      </c>
      <c r="K51" s="4">
        <v>77</v>
      </c>
    </row>
    <row r="52" spans="1:6" ht="15">
      <c r="A52" s="377" t="str">
        <f>'DA 4 b'!A50</f>
        <v>V</v>
      </c>
      <c r="B52" s="332" t="str">
        <f>'DA 4 b'!B50</f>
        <v> HUYỆN YÊN THẾ</v>
      </c>
      <c r="C52" s="444">
        <f t="shared" si="0"/>
        <v>947</v>
      </c>
      <c r="D52" s="444"/>
      <c r="E52" s="444"/>
      <c r="F52" s="456">
        <f>'DA 3 PTSX Theo Trung ương'!M51</f>
        <v>947</v>
      </c>
    </row>
    <row r="53" spans="1:11" s="4" customFormat="1" ht="15">
      <c r="A53" s="455">
        <f>'DA 4 b'!A51</f>
        <v>1</v>
      </c>
      <c r="B53" s="374" t="str">
        <f>'DA 4 b'!B51</f>
        <v>Xã Đồng Vương</v>
      </c>
      <c r="C53" s="454">
        <f>SUM(D53:F53)</f>
        <v>227</v>
      </c>
      <c r="D53" s="454"/>
      <c r="E53" s="454"/>
      <c r="F53" s="456">
        <f>'DA 3 PTSX Theo Trung ương'!M52</f>
        <v>227</v>
      </c>
      <c r="K53" s="4">
        <f>SUM(K46:K52)</f>
        <v>10087</v>
      </c>
    </row>
    <row r="54" spans="1:6" s="4" customFormat="1" ht="15">
      <c r="A54" s="455">
        <f>'DA 4 b'!A52</f>
        <v>2</v>
      </c>
      <c r="B54" s="374" t="str">
        <f>'DA 4 b'!B52</f>
        <v>Xã Đồng Tiến</v>
      </c>
      <c r="C54" s="454">
        <f t="shared" si="0"/>
        <v>166</v>
      </c>
      <c r="D54" s="454"/>
      <c r="E54" s="454"/>
      <c r="F54" s="456">
        <f>'DA 3 PTSX Theo Trung ương'!M53</f>
        <v>166</v>
      </c>
    </row>
    <row r="55" spans="1:11" s="4" customFormat="1" ht="15">
      <c r="A55" s="455">
        <f>'DA 4 b'!A53</f>
        <v>3</v>
      </c>
      <c r="B55" s="374" t="str">
        <f>'DA 4 b'!B53</f>
        <v>Xã Canh Nậu</v>
      </c>
      <c r="C55" s="454">
        <f t="shared" si="0"/>
        <v>166</v>
      </c>
      <c r="D55" s="454"/>
      <c r="E55" s="454"/>
      <c r="F55" s="456">
        <f>'DA 3 PTSX Theo Trung ương'!M54</f>
        <v>166</v>
      </c>
      <c r="K55" s="408"/>
    </row>
    <row r="56" spans="1:6" s="4" customFormat="1" ht="15">
      <c r="A56" s="455">
        <f>'DA 4 b'!A54</f>
        <v>4</v>
      </c>
      <c r="B56" s="374" t="str">
        <f>'DA 4 b'!B54</f>
        <v>Xã Tiến Thắng</v>
      </c>
      <c r="C56" s="454">
        <f t="shared" si="0"/>
        <v>116</v>
      </c>
      <c r="D56" s="454"/>
      <c r="E56" s="454"/>
      <c r="F56" s="456">
        <f>'DA 3 PTSX Theo Trung ương'!M55</f>
        <v>116</v>
      </c>
    </row>
    <row r="57" spans="1:6" s="4" customFormat="1" ht="15">
      <c r="A57" s="455">
        <f>'DA 4 b'!A55</f>
        <v>5</v>
      </c>
      <c r="B57" s="374" t="str">
        <f>'DA 4 b'!B55</f>
        <v>Xã Đồng Hưu</v>
      </c>
      <c r="C57" s="454">
        <f t="shared" si="0"/>
        <v>155</v>
      </c>
      <c r="D57" s="454"/>
      <c r="E57" s="454"/>
      <c r="F57" s="456">
        <f>'DA 3 PTSX Theo Trung ương'!M56</f>
        <v>155</v>
      </c>
    </row>
    <row r="58" spans="1:6" s="4" customFormat="1" ht="15">
      <c r="A58" s="455">
        <f>'DA 4 b'!A56</f>
        <v>6</v>
      </c>
      <c r="B58" s="374" t="str">
        <f>'DA 4 b'!B56</f>
        <v>Xã Tân Hiệp</v>
      </c>
      <c r="C58" s="454">
        <f>SUM(D58:F58)</f>
        <v>40</v>
      </c>
      <c r="D58" s="454"/>
      <c r="E58" s="454"/>
      <c r="F58" s="456">
        <f>'DA 3 PTSX Theo Trung ương'!M57</f>
        <v>40</v>
      </c>
    </row>
    <row r="59" spans="1:6" s="4" customFormat="1" ht="15">
      <c r="A59" s="455">
        <f>'DA 4 b'!A57</f>
        <v>7</v>
      </c>
      <c r="B59" s="374" t="str">
        <f>'DA 4 b'!B57</f>
        <v>Xã Đông Sơn</v>
      </c>
      <c r="C59" s="454">
        <f t="shared" si="0"/>
        <v>77</v>
      </c>
      <c r="D59" s="454"/>
      <c r="E59" s="454"/>
      <c r="F59" s="456">
        <f>'DA 3 PTSX Theo Trung ương'!M58</f>
        <v>77</v>
      </c>
    </row>
    <row r="60" spans="1:9" s="1" customFormat="1" ht="15">
      <c r="A60" s="377" t="s">
        <v>35</v>
      </c>
      <c r="B60" s="332" t="s">
        <v>481</v>
      </c>
      <c r="C60" s="444">
        <f>SUM(D60:F60)</f>
        <v>0</v>
      </c>
      <c r="D60" s="444"/>
      <c r="E60" s="444"/>
      <c r="F60" s="456">
        <f>'DA 3 PTSX Theo Trung ương'!M59</f>
        <v>0</v>
      </c>
      <c r="I60" s="1">
        <v>29757</v>
      </c>
    </row>
    <row r="61" spans="1:12" ht="15">
      <c r="A61" s="377"/>
      <c r="B61" s="377" t="str">
        <f>'DA 4 b'!B58</f>
        <v>Tổng cộng</v>
      </c>
      <c r="C61" s="444">
        <f>C6+C8+C27+C43+C52+C60</f>
        <v>18397</v>
      </c>
      <c r="D61" s="444">
        <f>D6+D8+D27+D43+D52+D60</f>
        <v>6181</v>
      </c>
      <c r="E61" s="444">
        <f>E6+E8+E27+E43+E52+E60</f>
        <v>2700</v>
      </c>
      <c r="F61" s="456">
        <f>'DA 3 PTSX Theo Trung ương'!M60</f>
        <v>0</v>
      </c>
      <c r="G61" s="393">
        <f>SUM(D61:F61)</f>
        <v>8881</v>
      </c>
      <c r="I61" s="393">
        <f>D61+E61</f>
        <v>8881</v>
      </c>
      <c r="L61">
        <f>12787-2700</f>
        <v>10087</v>
      </c>
    </row>
    <row r="63" ht="15">
      <c r="I63" s="568">
        <f>I60-I61</f>
        <v>20876</v>
      </c>
    </row>
  </sheetData>
  <sheetProtection/>
  <mergeCells count="7">
    <mergeCell ref="D4:E4"/>
    <mergeCell ref="F4:F5"/>
    <mergeCell ref="C3:F3"/>
    <mergeCell ref="A1:F1"/>
    <mergeCell ref="A3:A5"/>
    <mergeCell ref="B3:B5"/>
    <mergeCell ref="C4:C5"/>
  </mergeCells>
  <printOptions/>
  <pageMargins left="0.4724409448818898" right="0.35433070866141736" top="0.5118110236220472" bottom="0.5118110236220472"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S67"/>
  <sheetViews>
    <sheetView zoomScalePageLayoutView="0" workbookViewId="0" topLeftCell="A1">
      <pane xSplit="1" ySplit="4" topLeftCell="B5" activePane="bottomRight" state="frozen"/>
      <selection pane="topLeft" activeCell="A1" sqref="A1"/>
      <selection pane="topRight" activeCell="B1" sqref="B1"/>
      <selection pane="bottomLeft" activeCell="A8" sqref="A8"/>
      <selection pane="bottomRight" activeCell="N57" sqref="N57"/>
    </sheetView>
  </sheetViews>
  <sheetFormatPr defaultColWidth="9.00390625" defaultRowHeight="15.75"/>
  <cols>
    <col min="1" max="1" width="4.375" style="3" customWidth="1"/>
    <col min="2" max="2" width="15.625" style="3" customWidth="1"/>
    <col min="3" max="3" width="7.625" style="3" customWidth="1"/>
    <col min="4" max="4" width="7.875" style="3" customWidth="1"/>
    <col min="5" max="5" width="7.125" style="3" customWidth="1"/>
    <col min="6" max="6" width="10.375" style="179" customWidth="1"/>
    <col min="7" max="7" width="6.00390625" style="3" customWidth="1"/>
    <col min="8" max="8" width="9.25390625" style="3" customWidth="1"/>
    <col min="9" max="9" width="7.00390625" style="116" customWidth="1"/>
    <col min="10" max="10" width="9.875" style="116" customWidth="1"/>
    <col min="11" max="11" width="8.625" style="117" customWidth="1"/>
    <col min="12" max="13" width="11.375" style="118" customWidth="1"/>
    <col min="14" max="17" width="9.00390625" style="3" customWidth="1"/>
  </cols>
  <sheetData>
    <row r="1" spans="1:13" ht="21" customHeight="1">
      <c r="A1" s="692" t="s">
        <v>143</v>
      </c>
      <c r="B1" s="692"/>
      <c r="C1" s="692"/>
      <c r="D1" s="692"/>
      <c r="E1" s="692"/>
      <c r="F1" s="692"/>
      <c r="G1" s="692"/>
      <c r="H1" s="692"/>
      <c r="I1" s="692"/>
      <c r="J1" s="692"/>
      <c r="K1" s="692"/>
      <c r="L1" s="692"/>
      <c r="M1" s="575"/>
    </row>
    <row r="2" spans="1:17" s="86" customFormat="1" ht="18">
      <c r="A2" s="737" t="s">
        <v>134</v>
      </c>
      <c r="B2" s="737"/>
      <c r="C2" s="737"/>
      <c r="D2" s="737"/>
      <c r="E2" s="737"/>
      <c r="F2" s="737"/>
      <c r="G2" s="737"/>
      <c r="H2" s="737"/>
      <c r="I2" s="737"/>
      <c r="J2" s="737"/>
      <c r="K2" s="737"/>
      <c r="L2" s="737"/>
      <c r="M2" s="209"/>
      <c r="N2" s="115"/>
      <c r="O2" s="115"/>
      <c r="P2" s="115"/>
      <c r="Q2" s="115"/>
    </row>
    <row r="3" ht="12.75" customHeight="1"/>
    <row r="4" spans="1:17" s="147" customFormat="1" ht="54.75" customHeight="1">
      <c r="A4" s="142" t="s">
        <v>0</v>
      </c>
      <c r="B4" s="142" t="s">
        <v>24</v>
      </c>
      <c r="C4" s="142" t="s">
        <v>9</v>
      </c>
      <c r="D4" s="143" t="s">
        <v>224</v>
      </c>
      <c r="E4" s="143" t="s">
        <v>138</v>
      </c>
      <c r="F4" s="180" t="s">
        <v>181</v>
      </c>
      <c r="G4" s="143" t="s">
        <v>182</v>
      </c>
      <c r="H4" s="143" t="s">
        <v>137</v>
      </c>
      <c r="I4" s="143" t="s">
        <v>5</v>
      </c>
      <c r="J4" s="143" t="s">
        <v>139</v>
      </c>
      <c r="K4" s="144" t="s">
        <v>140</v>
      </c>
      <c r="L4" s="145" t="s">
        <v>174</v>
      </c>
      <c r="M4" s="145"/>
      <c r="N4" s="736" t="s">
        <v>317</v>
      </c>
      <c r="O4" s="736"/>
      <c r="P4" s="146"/>
      <c r="Q4" s="146"/>
    </row>
    <row r="5" spans="1:17" s="7" customFormat="1" ht="18.75" customHeight="1">
      <c r="A5" s="110" t="s">
        <v>13</v>
      </c>
      <c r="B5" s="119" t="s">
        <v>178</v>
      </c>
      <c r="C5" s="110">
        <v>3</v>
      </c>
      <c r="D5" s="110">
        <f>SUM(D6:D6)</f>
        <v>0</v>
      </c>
      <c r="E5" s="110">
        <f>SUM(E6:E6)</f>
        <v>2</v>
      </c>
      <c r="F5" s="181"/>
      <c r="G5" s="268"/>
      <c r="H5" s="269">
        <v>29</v>
      </c>
      <c r="I5" s="110">
        <v>6.53</v>
      </c>
      <c r="J5" s="112"/>
      <c r="K5" s="111">
        <f>SUM(K6:K6)</f>
        <v>10</v>
      </c>
      <c r="L5" s="122">
        <f>+$L$63*K5</f>
        <v>77.39010433275858</v>
      </c>
      <c r="M5" s="122">
        <f>M6</f>
        <v>77</v>
      </c>
      <c r="N5" s="324" t="s">
        <v>318</v>
      </c>
      <c r="O5" s="324" t="s">
        <v>319</v>
      </c>
      <c r="P5" s="121"/>
      <c r="Q5" s="121"/>
    </row>
    <row r="6" spans="1:15" s="3" customFormat="1" ht="18.75" customHeight="1">
      <c r="A6" s="64">
        <v>1</v>
      </c>
      <c r="B6" s="70" t="s">
        <v>21</v>
      </c>
      <c r="C6" s="65"/>
      <c r="D6" s="65"/>
      <c r="E6" s="66">
        <v>2</v>
      </c>
      <c r="F6" s="182"/>
      <c r="G6" s="270">
        <v>5</v>
      </c>
      <c r="H6" s="269">
        <f>+G6*E6+F6</f>
        <v>10</v>
      </c>
      <c r="I6" s="64">
        <v>6.53</v>
      </c>
      <c r="J6" s="112"/>
      <c r="K6" s="113">
        <f>+D6+H6+J6</f>
        <v>10</v>
      </c>
      <c r="L6" s="109">
        <f>+$L$63*K6</f>
        <v>77.39010433275858</v>
      </c>
      <c r="M6" s="109">
        <v>77</v>
      </c>
      <c r="N6" s="242"/>
      <c r="O6" s="242"/>
    </row>
    <row r="7" spans="1:15" s="72" customFormat="1" ht="16.5" customHeight="1">
      <c r="A7" s="80" t="s">
        <v>15</v>
      </c>
      <c r="B7" s="81" t="s">
        <v>177</v>
      </c>
      <c r="C7" s="80">
        <v>17</v>
      </c>
      <c r="D7" s="122">
        <f>SUM(D8:D24)</f>
        <v>392</v>
      </c>
      <c r="E7" s="122">
        <f aca="true" t="shared" si="0" ref="E7:J7">SUM(E8:E24)</f>
        <v>108</v>
      </c>
      <c r="F7" s="183"/>
      <c r="G7" s="281">
        <v>15</v>
      </c>
      <c r="H7" s="271">
        <f t="shared" si="0"/>
        <v>55</v>
      </c>
      <c r="I7" s="122">
        <f t="shared" si="0"/>
        <v>499.7567757770457</v>
      </c>
      <c r="J7" s="122">
        <f t="shared" si="0"/>
        <v>64.89251636655685</v>
      </c>
      <c r="K7" s="111">
        <f>SUM(K8:K25)</f>
        <v>564.8925163665568</v>
      </c>
      <c r="L7" s="122">
        <f aca="true" t="shared" si="1" ref="L7:L57">+$L$63*K7</f>
        <v>4371.709077840237</v>
      </c>
      <c r="M7" s="122">
        <f>SUM(M8:M25)</f>
        <v>4372</v>
      </c>
      <c r="N7" s="325">
        <v>6181</v>
      </c>
      <c r="O7" s="325">
        <v>2700</v>
      </c>
    </row>
    <row r="8" spans="1:13" s="89" customFormat="1" ht="16.5" customHeight="1">
      <c r="A8" s="151">
        <v>1</v>
      </c>
      <c r="B8" s="158" t="s">
        <v>26</v>
      </c>
      <c r="C8" s="90">
        <v>1</v>
      </c>
      <c r="D8" s="90"/>
      <c r="E8" s="184">
        <v>8</v>
      </c>
      <c r="F8" s="184">
        <v>1.5</v>
      </c>
      <c r="G8" s="270">
        <v>5</v>
      </c>
      <c r="H8" s="272">
        <f>+G8*4</f>
        <v>20</v>
      </c>
      <c r="I8" s="91">
        <v>32.71</v>
      </c>
      <c r="J8" s="112"/>
      <c r="K8" s="113">
        <f aca="true" t="shared" si="2" ref="K8:K24">J8+H8+F8+D8</f>
        <v>21.5</v>
      </c>
      <c r="L8" s="109">
        <f t="shared" si="1"/>
        <v>166.38872431543095</v>
      </c>
      <c r="M8" s="583">
        <v>166</v>
      </c>
    </row>
    <row r="9" spans="1:13" s="89" customFormat="1" ht="16.5" customHeight="1">
      <c r="A9" s="90">
        <v>2</v>
      </c>
      <c r="B9" s="158" t="s">
        <v>45</v>
      </c>
      <c r="C9" s="90">
        <v>1</v>
      </c>
      <c r="D9" s="90"/>
      <c r="E9" s="184">
        <v>3</v>
      </c>
      <c r="F9" s="184"/>
      <c r="G9" s="270">
        <v>5</v>
      </c>
      <c r="H9" s="272">
        <f>+G9*3+F9</f>
        <v>15</v>
      </c>
      <c r="I9" s="91">
        <v>10.57</v>
      </c>
      <c r="J9" s="112"/>
      <c r="K9" s="113">
        <f t="shared" si="2"/>
        <v>15</v>
      </c>
      <c r="L9" s="109">
        <f>+$L$63*K9</f>
        <v>116.08515649913787</v>
      </c>
      <c r="M9" s="583">
        <v>116</v>
      </c>
    </row>
    <row r="10" spans="1:13" s="89" customFormat="1" ht="16.5" customHeight="1">
      <c r="A10" s="151">
        <v>3</v>
      </c>
      <c r="B10" s="158" t="s">
        <v>44</v>
      </c>
      <c r="C10" s="90"/>
      <c r="D10" s="90"/>
      <c r="E10" s="184">
        <v>5</v>
      </c>
      <c r="F10" s="184">
        <v>1.5</v>
      </c>
      <c r="G10" s="270">
        <v>5</v>
      </c>
      <c r="H10" s="272">
        <f>+G10*4</f>
        <v>20</v>
      </c>
      <c r="I10" s="91">
        <v>23.86</v>
      </c>
      <c r="J10" s="112"/>
      <c r="K10" s="113">
        <f t="shared" si="2"/>
        <v>21.5</v>
      </c>
      <c r="L10" s="109">
        <f t="shared" si="1"/>
        <v>166.38872431543095</v>
      </c>
      <c r="M10" s="583">
        <v>166</v>
      </c>
    </row>
    <row r="11" spans="1:17" s="100" customFormat="1" ht="16.5" customHeight="1">
      <c r="A11" s="22">
        <v>4</v>
      </c>
      <c r="B11" s="99" t="s">
        <v>144</v>
      </c>
      <c r="C11" s="69"/>
      <c r="D11" s="69">
        <v>28</v>
      </c>
      <c r="E11" s="33">
        <v>7</v>
      </c>
      <c r="F11" s="185"/>
      <c r="G11" s="66"/>
      <c r="H11" s="64"/>
      <c r="I11" s="112">
        <v>23.49537037037037</v>
      </c>
      <c r="J11" s="112">
        <f>+I11*0.15</f>
        <v>3.5243055555555554</v>
      </c>
      <c r="K11" s="113">
        <f>J11+H11+F11+D11</f>
        <v>31.524305555555557</v>
      </c>
      <c r="L11" s="109">
        <f t="shared" si="1"/>
        <v>243.96692959622055</v>
      </c>
      <c r="M11" s="583">
        <v>244</v>
      </c>
      <c r="N11" s="3"/>
      <c r="O11" s="3"/>
      <c r="P11" s="3"/>
      <c r="Q11" s="3"/>
    </row>
    <row r="12" spans="1:17" s="100" customFormat="1" ht="16.5" customHeight="1">
      <c r="A12" s="69">
        <v>5</v>
      </c>
      <c r="B12" s="99" t="s">
        <v>145</v>
      </c>
      <c r="C12" s="69"/>
      <c r="D12" s="69">
        <v>28</v>
      </c>
      <c r="E12" s="33">
        <v>8</v>
      </c>
      <c r="F12" s="185"/>
      <c r="G12" s="66"/>
      <c r="H12" s="64"/>
      <c r="I12" s="112">
        <v>19.410496046010064</v>
      </c>
      <c r="J12" s="112">
        <f aca="true" t="shared" si="3" ref="J12:J24">+I12*0.15</f>
        <v>2.9115744069015093</v>
      </c>
      <c r="K12" s="113">
        <f t="shared" si="2"/>
        <v>30.911574406901508</v>
      </c>
      <c r="L12" s="109">
        <f t="shared" si="1"/>
        <v>239.22499684399378</v>
      </c>
      <c r="M12" s="583">
        <v>239</v>
      </c>
      <c r="N12" s="3"/>
      <c r="O12" s="3"/>
      <c r="P12" s="3"/>
      <c r="Q12" s="3">
        <v>77</v>
      </c>
    </row>
    <row r="13" spans="1:17" s="100" customFormat="1" ht="16.5" customHeight="1">
      <c r="A13" s="22">
        <v>6</v>
      </c>
      <c r="B13" s="99" t="s">
        <v>146</v>
      </c>
      <c r="C13" s="69"/>
      <c r="D13" s="69">
        <v>28</v>
      </c>
      <c r="E13" s="33">
        <v>4</v>
      </c>
      <c r="F13" s="185"/>
      <c r="G13" s="66"/>
      <c r="H13" s="64"/>
      <c r="I13" s="112">
        <v>34.59016393442623</v>
      </c>
      <c r="J13" s="112">
        <f t="shared" si="3"/>
        <v>5.188524590163934</v>
      </c>
      <c r="K13" s="113">
        <f t="shared" si="2"/>
        <v>33.18852459016394</v>
      </c>
      <c r="L13" s="109">
        <f t="shared" si="1"/>
        <v>256.84633806831107</v>
      </c>
      <c r="M13" s="583">
        <v>257</v>
      </c>
      <c r="N13" s="3"/>
      <c r="O13" s="3"/>
      <c r="P13" s="3"/>
      <c r="Q13" s="329">
        <v>4372</v>
      </c>
    </row>
    <row r="14" spans="1:17" s="100" customFormat="1" ht="16.5" customHeight="1">
      <c r="A14" s="22">
        <v>7</v>
      </c>
      <c r="B14" s="99" t="s">
        <v>147</v>
      </c>
      <c r="C14" s="69"/>
      <c r="D14" s="69">
        <v>28</v>
      </c>
      <c r="E14" s="33">
        <v>10</v>
      </c>
      <c r="F14" s="185"/>
      <c r="G14" s="66"/>
      <c r="H14" s="64"/>
      <c r="I14" s="112">
        <v>36.12244897959184</v>
      </c>
      <c r="J14" s="112">
        <f t="shared" si="3"/>
        <v>5.418367346938775</v>
      </c>
      <c r="K14" s="113">
        <f t="shared" si="2"/>
        <v>33.41836734693877</v>
      </c>
      <c r="L14" s="109">
        <f t="shared" si="1"/>
        <v>258.6250935610044</v>
      </c>
      <c r="M14" s="583">
        <v>259</v>
      </c>
      <c r="N14" s="3"/>
      <c r="O14" s="3"/>
      <c r="P14" s="3"/>
      <c r="Q14" s="3">
        <v>2648</v>
      </c>
    </row>
    <row r="15" spans="1:17" s="100" customFormat="1" ht="16.5" customHeight="1">
      <c r="A15" s="69">
        <v>8</v>
      </c>
      <c r="B15" s="99" t="s">
        <v>148</v>
      </c>
      <c r="C15" s="69"/>
      <c r="D15" s="69">
        <v>28</v>
      </c>
      <c r="E15" s="33">
        <v>4</v>
      </c>
      <c r="F15" s="185"/>
      <c r="G15" s="66"/>
      <c r="H15" s="64"/>
      <c r="I15" s="112">
        <v>31.180124223602483</v>
      </c>
      <c r="J15" s="112">
        <f t="shared" si="3"/>
        <v>4.6770186335403725</v>
      </c>
      <c r="K15" s="113">
        <f t="shared" si="2"/>
        <v>32.67701863354037</v>
      </c>
      <c r="L15" s="109">
        <f t="shared" si="1"/>
        <v>252.88778813331857</v>
      </c>
      <c r="M15" s="583">
        <v>253</v>
      </c>
      <c r="N15" s="3"/>
      <c r="O15" s="3"/>
      <c r="P15" s="3"/>
      <c r="Q15" s="3">
        <v>1472</v>
      </c>
    </row>
    <row r="16" spans="1:17" s="100" customFormat="1" ht="16.5" customHeight="1">
      <c r="A16" s="22">
        <v>9</v>
      </c>
      <c r="B16" s="99" t="s">
        <v>149</v>
      </c>
      <c r="C16" s="69"/>
      <c r="D16" s="69">
        <v>28</v>
      </c>
      <c r="E16" s="33">
        <v>6</v>
      </c>
      <c r="F16" s="185"/>
      <c r="G16" s="66"/>
      <c r="H16" s="64"/>
      <c r="I16" s="112">
        <v>28.24742268041237</v>
      </c>
      <c r="J16" s="112">
        <f t="shared" si="3"/>
        <v>4.237113402061856</v>
      </c>
      <c r="K16" s="113">
        <f t="shared" si="2"/>
        <v>32.23711340206186</v>
      </c>
      <c r="L16" s="109">
        <f t="shared" si="1"/>
        <v>249.48335695725373</v>
      </c>
      <c r="M16" s="583">
        <v>249</v>
      </c>
      <c r="N16" s="3"/>
      <c r="O16" s="3"/>
      <c r="P16" s="3"/>
      <c r="Q16" s="3">
        <v>947</v>
      </c>
    </row>
    <row r="17" spans="1:17" s="100" customFormat="1" ht="16.5" customHeight="1">
      <c r="A17" s="22">
        <v>10</v>
      </c>
      <c r="B17" s="99" t="s">
        <v>150</v>
      </c>
      <c r="C17" s="69"/>
      <c r="D17" s="69">
        <v>28</v>
      </c>
      <c r="E17" s="33">
        <v>12</v>
      </c>
      <c r="F17" s="185"/>
      <c r="G17" s="66"/>
      <c r="H17" s="64"/>
      <c r="I17" s="112">
        <v>27.587844254510923</v>
      </c>
      <c r="J17" s="112">
        <f t="shared" si="3"/>
        <v>4.138176638176638</v>
      </c>
      <c r="K17" s="113">
        <f t="shared" si="2"/>
        <v>32.13817663817664</v>
      </c>
      <c r="L17" s="109">
        <f t="shared" si="1"/>
        <v>248.71768430931144</v>
      </c>
      <c r="M17" s="583">
        <v>249</v>
      </c>
      <c r="N17" s="3"/>
      <c r="O17" s="3"/>
      <c r="P17" s="3"/>
      <c r="Q17" s="3">
        <f>SUM(Q12:Q16)</f>
        <v>9516</v>
      </c>
    </row>
    <row r="18" spans="1:17" s="100" customFormat="1" ht="16.5" customHeight="1">
      <c r="A18" s="69">
        <v>11</v>
      </c>
      <c r="B18" s="99" t="s">
        <v>151</v>
      </c>
      <c r="C18" s="69"/>
      <c r="D18" s="69">
        <v>28</v>
      </c>
      <c r="E18" s="33">
        <v>6</v>
      </c>
      <c r="F18" s="185"/>
      <c r="G18" s="66"/>
      <c r="H18" s="64"/>
      <c r="I18" s="112">
        <v>27.33887733887734</v>
      </c>
      <c r="J18" s="112">
        <f t="shared" si="3"/>
        <v>4.100831600831601</v>
      </c>
      <c r="K18" s="113">
        <f t="shared" si="2"/>
        <v>32.1008316008316</v>
      </c>
      <c r="L18" s="109">
        <f t="shared" si="1"/>
        <v>248.4286706756671</v>
      </c>
      <c r="M18" s="583">
        <v>248</v>
      </c>
      <c r="N18" s="3"/>
      <c r="O18" s="3"/>
      <c r="P18" s="3"/>
      <c r="Q18" s="3"/>
    </row>
    <row r="19" spans="1:17" s="100" customFormat="1" ht="16.5" customHeight="1">
      <c r="A19" s="22">
        <v>12</v>
      </c>
      <c r="B19" s="99" t="s">
        <v>152</v>
      </c>
      <c r="C19" s="69"/>
      <c r="D19" s="69">
        <v>28</v>
      </c>
      <c r="E19" s="33">
        <v>6</v>
      </c>
      <c r="F19" s="185"/>
      <c r="G19" s="66"/>
      <c r="H19" s="64"/>
      <c r="I19" s="112">
        <v>29.33920704845815</v>
      </c>
      <c r="J19" s="112">
        <f t="shared" si="3"/>
        <v>4.400881057268722</v>
      </c>
      <c r="K19" s="113">
        <f t="shared" si="2"/>
        <v>32.40088105726872</v>
      </c>
      <c r="L19" s="109">
        <f t="shared" si="1"/>
        <v>250.75075654953275</v>
      </c>
      <c r="M19" s="583">
        <v>252</v>
      </c>
      <c r="N19" s="3"/>
      <c r="O19" s="3"/>
      <c r="P19" s="3"/>
      <c r="Q19" s="3"/>
    </row>
    <row r="20" spans="1:17" s="89" customFormat="1" ht="16.5" customHeight="1">
      <c r="A20" s="22">
        <v>13</v>
      </c>
      <c r="B20" s="99" t="s">
        <v>153</v>
      </c>
      <c r="C20" s="69"/>
      <c r="D20" s="69">
        <v>28</v>
      </c>
      <c r="E20" s="33">
        <v>6</v>
      </c>
      <c r="F20" s="185"/>
      <c r="G20" s="66"/>
      <c r="H20" s="64"/>
      <c r="I20" s="112">
        <v>39.844509232264336</v>
      </c>
      <c r="J20" s="112">
        <f t="shared" si="3"/>
        <v>5.97667638483965</v>
      </c>
      <c r="K20" s="113">
        <f t="shared" si="2"/>
        <v>33.97667638483965</v>
      </c>
      <c r="L20" s="109">
        <f t="shared" si="1"/>
        <v>262.9458530303115</v>
      </c>
      <c r="M20" s="583">
        <v>263</v>
      </c>
      <c r="N20" s="3"/>
      <c r="O20" s="3"/>
      <c r="P20" s="3"/>
      <c r="Q20" s="3"/>
    </row>
    <row r="21" spans="1:17" s="100" customFormat="1" ht="16.5" customHeight="1">
      <c r="A21" s="69">
        <v>14</v>
      </c>
      <c r="B21" s="99" t="s">
        <v>154</v>
      </c>
      <c r="C21" s="69"/>
      <c r="D21" s="69">
        <v>28</v>
      </c>
      <c r="E21" s="33">
        <v>4</v>
      </c>
      <c r="F21" s="185"/>
      <c r="G21" s="66"/>
      <c r="H21" s="64"/>
      <c r="I21" s="112">
        <v>32.05619412515964</v>
      </c>
      <c r="J21" s="112">
        <f t="shared" si="3"/>
        <v>4.8084291187739465</v>
      </c>
      <c r="K21" s="113">
        <f t="shared" si="2"/>
        <v>32.808429118773944</v>
      </c>
      <c r="L21" s="109">
        <f t="shared" si="1"/>
        <v>253.90477524958303</v>
      </c>
      <c r="M21" s="583">
        <v>254</v>
      </c>
      <c r="N21" s="3"/>
      <c r="O21" s="3"/>
      <c r="P21" s="3"/>
      <c r="Q21" s="3"/>
    </row>
    <row r="22" spans="1:17" s="100" customFormat="1" ht="16.5" customHeight="1">
      <c r="A22" s="22">
        <v>15</v>
      </c>
      <c r="B22" s="99" t="s">
        <v>155</v>
      </c>
      <c r="C22" s="69"/>
      <c r="D22" s="69">
        <v>28</v>
      </c>
      <c r="E22" s="33">
        <v>9</v>
      </c>
      <c r="F22" s="185"/>
      <c r="G22" s="66"/>
      <c r="H22" s="64"/>
      <c r="I22" s="112">
        <v>27.716643741403026</v>
      </c>
      <c r="J22" s="112">
        <f t="shared" si="3"/>
        <v>4.157496561210453</v>
      </c>
      <c r="K22" s="113">
        <f t="shared" si="2"/>
        <v>32.15749656121045</v>
      </c>
      <c r="L22" s="109">
        <f t="shared" si="1"/>
        <v>248.86720139524022</v>
      </c>
      <c r="M22" s="583">
        <v>249</v>
      </c>
      <c r="N22" s="3"/>
      <c r="O22" s="3"/>
      <c r="P22" s="3"/>
      <c r="Q22" s="3"/>
    </row>
    <row r="23" spans="1:17" s="100" customFormat="1" ht="16.5" customHeight="1">
      <c r="A23" s="22">
        <v>16</v>
      </c>
      <c r="B23" s="99" t="s">
        <v>156</v>
      </c>
      <c r="C23" s="69"/>
      <c r="D23" s="69">
        <v>28</v>
      </c>
      <c r="E23" s="33">
        <v>6</v>
      </c>
      <c r="F23" s="185"/>
      <c r="G23" s="66"/>
      <c r="H23" s="64"/>
      <c r="I23" s="112">
        <v>38.551859099804304</v>
      </c>
      <c r="J23" s="112">
        <f t="shared" si="3"/>
        <v>5.782778864970646</v>
      </c>
      <c r="K23" s="113">
        <f t="shared" si="2"/>
        <v>33.782778864970645</v>
      </c>
      <c r="L23" s="109">
        <f t="shared" si="1"/>
        <v>261.445278101059</v>
      </c>
      <c r="M23" s="583">
        <v>261</v>
      </c>
      <c r="N23" s="3"/>
      <c r="O23" s="3"/>
      <c r="P23" s="3"/>
      <c r="Q23" s="3"/>
    </row>
    <row r="24" spans="1:17" s="100" customFormat="1" ht="16.5" customHeight="1">
      <c r="A24" s="69">
        <v>17</v>
      </c>
      <c r="B24" s="99" t="s">
        <v>157</v>
      </c>
      <c r="C24" s="69"/>
      <c r="D24" s="69">
        <v>28</v>
      </c>
      <c r="E24" s="33">
        <v>4</v>
      </c>
      <c r="F24" s="185"/>
      <c r="G24" s="66"/>
      <c r="H24" s="64"/>
      <c r="I24" s="112">
        <v>37.135614702154626</v>
      </c>
      <c r="J24" s="112">
        <f t="shared" si="3"/>
        <v>5.570342205323194</v>
      </c>
      <c r="K24" s="113">
        <f t="shared" si="2"/>
        <v>33.57034220532319</v>
      </c>
      <c r="L24" s="109">
        <f t="shared" si="1"/>
        <v>259.8012285756371</v>
      </c>
      <c r="M24" s="583">
        <v>260</v>
      </c>
      <c r="N24" s="3"/>
      <c r="O24" s="3"/>
      <c r="P24" s="3"/>
      <c r="Q24" s="3"/>
    </row>
    <row r="25" spans="1:17" s="100" customFormat="1" ht="16.5" customHeight="1">
      <c r="A25" s="69">
        <v>18</v>
      </c>
      <c r="B25" s="99" t="s">
        <v>190</v>
      </c>
      <c r="C25" s="69"/>
      <c r="D25" s="69">
        <v>50</v>
      </c>
      <c r="E25" s="33"/>
      <c r="F25" s="185"/>
      <c r="G25" s="66"/>
      <c r="H25" s="64"/>
      <c r="I25" s="112"/>
      <c r="J25" s="112"/>
      <c r="K25" s="156">
        <v>50</v>
      </c>
      <c r="L25" s="160">
        <f t="shared" si="1"/>
        <v>386.9505216637929</v>
      </c>
      <c r="M25" s="584">
        <v>387</v>
      </c>
      <c r="N25" s="3"/>
      <c r="O25" s="3"/>
      <c r="P25" s="3"/>
      <c r="Q25" s="3"/>
    </row>
    <row r="26" spans="1:13" s="72" customFormat="1" ht="16.5" customHeight="1">
      <c r="A26" s="173" t="s">
        <v>12</v>
      </c>
      <c r="B26" s="174" t="s">
        <v>176</v>
      </c>
      <c r="C26" s="175">
        <v>27</v>
      </c>
      <c r="D26" s="175">
        <f>SUM(D27:D41)</f>
        <v>252</v>
      </c>
      <c r="E26" s="175">
        <f>SUM(E27:E41)</f>
        <v>81</v>
      </c>
      <c r="F26" s="186"/>
      <c r="G26" s="282"/>
      <c r="H26" s="175">
        <f>SUM(H27:H41)</f>
        <v>60</v>
      </c>
      <c r="I26" s="175">
        <f>SUM(I27:I41)</f>
        <v>283.6867129966825</v>
      </c>
      <c r="J26" s="175">
        <f>SUM(J27:J41)</f>
        <v>28.624006949502384</v>
      </c>
      <c r="K26" s="6">
        <f>SUM(K27:K41)</f>
        <v>342.12400694950236</v>
      </c>
      <c r="L26" s="122">
        <f t="shared" si="1"/>
        <v>2647.701259256341</v>
      </c>
      <c r="M26" s="585">
        <f>SUM(M27:M41)</f>
        <v>2648</v>
      </c>
    </row>
    <row r="27" spans="1:17" s="101" customFormat="1" ht="16.5" customHeight="1">
      <c r="A27" s="64">
        <v>1</v>
      </c>
      <c r="B27" s="102" t="s">
        <v>158</v>
      </c>
      <c r="C27" s="65"/>
      <c r="D27" s="69">
        <v>28</v>
      </c>
      <c r="E27" s="66">
        <v>5</v>
      </c>
      <c r="F27" s="182"/>
      <c r="G27" s="66"/>
      <c r="H27" s="64"/>
      <c r="I27" s="64">
        <v>19.37669376693767</v>
      </c>
      <c r="J27" s="112">
        <f>+I27*0.15</f>
        <v>2.9065040650406506</v>
      </c>
      <c r="K27" s="113">
        <f aca="true" t="shared" si="4" ref="K27:K41">D27+F27+H27+J27</f>
        <v>30.90650406504065</v>
      </c>
      <c r="L27" s="109">
        <f t="shared" si="1"/>
        <v>239.1857574154323</v>
      </c>
      <c r="M27" s="583">
        <v>239</v>
      </c>
      <c r="N27" s="3"/>
      <c r="O27" s="3"/>
      <c r="P27" s="3"/>
      <c r="Q27" s="3"/>
    </row>
    <row r="28" spans="1:17" s="101" customFormat="1" ht="16.5" customHeight="1">
      <c r="A28" s="22">
        <v>2</v>
      </c>
      <c r="B28" s="103" t="s">
        <v>159</v>
      </c>
      <c r="C28" s="34"/>
      <c r="D28" s="69">
        <v>28</v>
      </c>
      <c r="E28" s="68">
        <v>4</v>
      </c>
      <c r="F28" s="187"/>
      <c r="G28" s="66"/>
      <c r="H28" s="64"/>
      <c r="I28" s="22">
        <v>23.19884726224784</v>
      </c>
      <c r="J28" s="112">
        <f aca="true" t="shared" si="5" ref="J28:J35">+I28*0.15</f>
        <v>3.4798270893371757</v>
      </c>
      <c r="K28" s="113">
        <f t="shared" si="4"/>
        <v>31.479827089337174</v>
      </c>
      <c r="L28" s="109">
        <f t="shared" si="1"/>
        <v>243.62271028210037</v>
      </c>
      <c r="M28" s="583">
        <v>244</v>
      </c>
      <c r="N28" s="3"/>
      <c r="O28" s="3"/>
      <c r="P28" s="3"/>
      <c r="Q28" s="3"/>
    </row>
    <row r="29" spans="1:17" s="101" customFormat="1" ht="16.5" customHeight="1">
      <c r="A29" s="64">
        <v>3</v>
      </c>
      <c r="B29" s="104" t="s">
        <v>160</v>
      </c>
      <c r="C29" s="34"/>
      <c r="D29" s="69">
        <v>28</v>
      </c>
      <c r="E29" s="68">
        <v>8</v>
      </c>
      <c r="F29" s="187"/>
      <c r="G29" s="66"/>
      <c r="H29" s="64"/>
      <c r="I29" s="22">
        <v>25.485799701046336</v>
      </c>
      <c r="J29" s="112">
        <f t="shared" si="5"/>
        <v>3.8228699551569503</v>
      </c>
      <c r="K29" s="113">
        <f t="shared" si="4"/>
        <v>31.82286995515695</v>
      </c>
      <c r="L29" s="109">
        <f t="shared" si="1"/>
        <v>246.27752259974048</v>
      </c>
      <c r="M29" s="583">
        <v>246</v>
      </c>
      <c r="N29" s="3"/>
      <c r="O29" s="3"/>
      <c r="P29" s="3"/>
      <c r="Q29" s="3"/>
    </row>
    <row r="30" spans="1:17" s="101" customFormat="1" ht="16.5" customHeight="1">
      <c r="A30" s="22">
        <v>4</v>
      </c>
      <c r="B30" s="104" t="s">
        <v>161</v>
      </c>
      <c r="C30" s="34"/>
      <c r="D30" s="69">
        <v>28</v>
      </c>
      <c r="E30" s="68">
        <v>12</v>
      </c>
      <c r="F30" s="187"/>
      <c r="G30" s="66"/>
      <c r="H30" s="64"/>
      <c r="I30" s="22">
        <v>10.077519379844961</v>
      </c>
      <c r="J30" s="112">
        <f t="shared" si="5"/>
        <v>1.5116279069767442</v>
      </c>
      <c r="K30" s="113">
        <f t="shared" si="4"/>
        <v>29.511627906976745</v>
      </c>
      <c r="L30" s="109">
        <f t="shared" si="1"/>
        <v>228.39079627504802</v>
      </c>
      <c r="M30" s="583">
        <v>228</v>
      </c>
      <c r="N30" s="3"/>
      <c r="O30" s="3"/>
      <c r="P30" s="3"/>
      <c r="Q30" s="3"/>
    </row>
    <row r="31" spans="1:17" s="101" customFormat="1" ht="16.5" customHeight="1">
      <c r="A31" s="64">
        <v>5</v>
      </c>
      <c r="B31" s="102" t="s">
        <v>162</v>
      </c>
      <c r="C31" s="34"/>
      <c r="D31" s="69">
        <v>28</v>
      </c>
      <c r="E31" s="68">
        <v>7</v>
      </c>
      <c r="F31" s="187"/>
      <c r="G31" s="66"/>
      <c r="H31" s="64"/>
      <c r="I31" s="22">
        <v>11.609498680738787</v>
      </c>
      <c r="J31" s="112">
        <f t="shared" si="5"/>
        <v>1.7414248021108178</v>
      </c>
      <c r="K31" s="113">
        <f t="shared" si="4"/>
        <v>29.741424802110817</v>
      </c>
      <c r="L31" s="109">
        <f t="shared" si="1"/>
        <v>230.16919684402498</v>
      </c>
      <c r="M31" s="583">
        <v>230</v>
      </c>
      <c r="N31" s="3"/>
      <c r="O31" s="3"/>
      <c r="P31" s="3"/>
      <c r="Q31" s="3"/>
    </row>
    <row r="32" spans="1:17" s="101" customFormat="1" ht="16.5" customHeight="1">
      <c r="A32" s="22">
        <v>6</v>
      </c>
      <c r="B32" s="103" t="s">
        <v>163</v>
      </c>
      <c r="C32" s="34"/>
      <c r="D32" s="69">
        <v>28</v>
      </c>
      <c r="E32" s="68">
        <v>6</v>
      </c>
      <c r="F32" s="187"/>
      <c r="G32" s="66"/>
      <c r="H32" s="64"/>
      <c r="I32" s="22">
        <v>18.451242829827915</v>
      </c>
      <c r="J32" s="112">
        <f t="shared" si="5"/>
        <v>2.7676864244741872</v>
      </c>
      <c r="K32" s="113">
        <f t="shared" si="4"/>
        <v>30.76768642447419</v>
      </c>
      <c r="L32" s="109">
        <f t="shared" si="1"/>
        <v>238.11144624676572</v>
      </c>
      <c r="M32" s="583">
        <v>238</v>
      </c>
      <c r="N32" s="3"/>
      <c r="O32" s="3"/>
      <c r="P32" s="3"/>
      <c r="Q32" s="3"/>
    </row>
    <row r="33" spans="1:17" s="101" customFormat="1" ht="16.5" customHeight="1">
      <c r="A33" s="64">
        <v>7</v>
      </c>
      <c r="B33" s="102" t="s">
        <v>164</v>
      </c>
      <c r="C33" s="34"/>
      <c r="D33" s="69">
        <v>28</v>
      </c>
      <c r="E33" s="68">
        <v>5</v>
      </c>
      <c r="F33" s="187"/>
      <c r="G33" s="66"/>
      <c r="H33" s="64"/>
      <c r="I33" s="22">
        <v>23.380900109769485</v>
      </c>
      <c r="J33" s="112">
        <f t="shared" si="5"/>
        <v>3.5071350164654227</v>
      </c>
      <c r="K33" s="113">
        <f t="shared" si="4"/>
        <v>31.507135016465423</v>
      </c>
      <c r="L33" s="109">
        <f t="shared" si="1"/>
        <v>243.83404661505705</v>
      </c>
      <c r="M33" s="583">
        <v>244</v>
      </c>
      <c r="N33" s="3"/>
      <c r="O33" s="3"/>
      <c r="P33" s="3"/>
      <c r="Q33" s="3"/>
    </row>
    <row r="34" spans="1:17" s="101" customFormat="1" ht="16.5" customHeight="1">
      <c r="A34" s="22">
        <v>8</v>
      </c>
      <c r="B34" s="102" t="s">
        <v>165</v>
      </c>
      <c r="C34" s="34"/>
      <c r="D34" s="69">
        <v>28</v>
      </c>
      <c r="E34" s="68">
        <v>13</v>
      </c>
      <c r="F34" s="187"/>
      <c r="G34" s="66"/>
      <c r="H34" s="64"/>
      <c r="I34" s="22">
        <v>32.78084714548803</v>
      </c>
      <c r="J34" s="112">
        <f t="shared" si="5"/>
        <v>4.917127071823205</v>
      </c>
      <c r="K34" s="113">
        <f t="shared" si="4"/>
        <v>32.9171270718232</v>
      </c>
      <c r="L34" s="109">
        <f t="shared" si="1"/>
        <v>254.74598984230695</v>
      </c>
      <c r="M34" s="583">
        <v>255</v>
      </c>
      <c r="N34" s="3"/>
      <c r="O34" s="3"/>
      <c r="P34" s="3"/>
      <c r="Q34" s="3"/>
    </row>
    <row r="35" spans="1:17" s="101" customFormat="1" ht="16.5" customHeight="1">
      <c r="A35" s="64">
        <v>9</v>
      </c>
      <c r="B35" s="102" t="s">
        <v>166</v>
      </c>
      <c r="C35" s="34"/>
      <c r="D35" s="69">
        <v>28</v>
      </c>
      <c r="E35" s="68">
        <v>7</v>
      </c>
      <c r="F35" s="187"/>
      <c r="G35" s="66"/>
      <c r="H35" s="64"/>
      <c r="I35" s="22">
        <v>26.465364120781526</v>
      </c>
      <c r="J35" s="112">
        <f t="shared" si="5"/>
        <v>3.969804618117229</v>
      </c>
      <c r="K35" s="113">
        <f t="shared" si="4"/>
        <v>31.96980461811723</v>
      </c>
      <c r="L35" s="109">
        <f t="shared" si="1"/>
        <v>247.41465148939997</v>
      </c>
      <c r="M35" s="583">
        <v>247</v>
      </c>
      <c r="N35" s="3"/>
      <c r="O35" s="3"/>
      <c r="P35" s="3"/>
      <c r="Q35" s="3"/>
    </row>
    <row r="36" spans="1:13" s="89" customFormat="1" ht="16.5" customHeight="1">
      <c r="A36" s="151">
        <v>10</v>
      </c>
      <c r="B36" s="152" t="s">
        <v>90</v>
      </c>
      <c r="C36" s="153"/>
      <c r="D36" s="90"/>
      <c r="E36" s="154">
        <v>6</v>
      </c>
      <c r="F36" s="188">
        <v>1.5</v>
      </c>
      <c r="G36" s="208">
        <v>5</v>
      </c>
      <c r="H36" s="172">
        <f>+G36*4</f>
        <v>20</v>
      </c>
      <c r="I36" s="151">
        <v>13.91</v>
      </c>
      <c r="J36" s="91"/>
      <c r="K36" s="156">
        <f t="shared" si="4"/>
        <v>21.5</v>
      </c>
      <c r="L36" s="109">
        <f t="shared" si="1"/>
        <v>166.38872431543095</v>
      </c>
      <c r="M36" s="583">
        <v>166</v>
      </c>
    </row>
    <row r="37" spans="1:13" s="89" customFormat="1" ht="16.5" customHeight="1">
      <c r="A37" s="155">
        <v>11</v>
      </c>
      <c r="B37" s="152" t="s">
        <v>89</v>
      </c>
      <c r="C37" s="153"/>
      <c r="D37" s="90"/>
      <c r="E37" s="157">
        <v>2</v>
      </c>
      <c r="F37" s="189"/>
      <c r="G37" s="208">
        <v>5</v>
      </c>
      <c r="H37" s="172">
        <f>+G37*E37+F37</f>
        <v>10</v>
      </c>
      <c r="I37" s="151">
        <v>25.68</v>
      </c>
      <c r="J37" s="91"/>
      <c r="K37" s="156">
        <f t="shared" si="4"/>
        <v>10</v>
      </c>
      <c r="L37" s="109">
        <f t="shared" si="1"/>
        <v>77.39010433275858</v>
      </c>
      <c r="M37" s="583">
        <v>78</v>
      </c>
    </row>
    <row r="38" spans="1:13" s="89" customFormat="1" ht="16.5" customHeight="1">
      <c r="A38" s="151">
        <v>12</v>
      </c>
      <c r="B38" s="152" t="s">
        <v>91</v>
      </c>
      <c r="C38" s="153"/>
      <c r="D38" s="90"/>
      <c r="E38" s="157">
        <v>1</v>
      </c>
      <c r="F38" s="189"/>
      <c r="G38" s="208">
        <v>5</v>
      </c>
      <c r="H38" s="172">
        <f>+G38*E38+F38</f>
        <v>5</v>
      </c>
      <c r="I38" s="151">
        <v>9.35</v>
      </c>
      <c r="J38" s="91"/>
      <c r="K38" s="156">
        <f t="shared" si="4"/>
        <v>5</v>
      </c>
      <c r="L38" s="109">
        <f t="shared" si="1"/>
        <v>38.69505216637929</v>
      </c>
      <c r="M38" s="583">
        <v>39</v>
      </c>
    </row>
    <row r="39" spans="1:13" s="89" customFormat="1" ht="16.5" customHeight="1">
      <c r="A39" s="155">
        <v>13</v>
      </c>
      <c r="B39" s="152" t="s">
        <v>92</v>
      </c>
      <c r="C39" s="153"/>
      <c r="D39" s="90"/>
      <c r="E39" s="157">
        <v>1</v>
      </c>
      <c r="F39" s="189"/>
      <c r="G39" s="208">
        <v>5</v>
      </c>
      <c r="H39" s="172">
        <f>+G39*E39+F39</f>
        <v>5</v>
      </c>
      <c r="I39" s="151">
        <v>14.6</v>
      </c>
      <c r="J39" s="91"/>
      <c r="K39" s="156">
        <f t="shared" si="4"/>
        <v>5</v>
      </c>
      <c r="L39" s="109">
        <f t="shared" si="1"/>
        <v>38.69505216637929</v>
      </c>
      <c r="M39" s="583">
        <v>39</v>
      </c>
    </row>
    <row r="40" spans="1:13" s="89" customFormat="1" ht="16.5" customHeight="1">
      <c r="A40" s="151">
        <v>14</v>
      </c>
      <c r="B40" s="152" t="s">
        <v>93</v>
      </c>
      <c r="C40" s="153"/>
      <c r="D40" s="90"/>
      <c r="E40" s="157">
        <v>3</v>
      </c>
      <c r="F40" s="189"/>
      <c r="G40" s="208">
        <v>5</v>
      </c>
      <c r="H40" s="172">
        <f>+G40*E40+F40</f>
        <v>15</v>
      </c>
      <c r="I40" s="151">
        <v>9.75</v>
      </c>
      <c r="J40" s="91"/>
      <c r="K40" s="156">
        <f t="shared" si="4"/>
        <v>15</v>
      </c>
      <c r="L40" s="109">
        <f t="shared" si="1"/>
        <v>116.08515649913787</v>
      </c>
      <c r="M40" s="583">
        <v>116</v>
      </c>
    </row>
    <row r="41" spans="1:13" s="89" customFormat="1" ht="16.5" customHeight="1">
      <c r="A41" s="155">
        <v>15</v>
      </c>
      <c r="B41" s="152" t="s">
        <v>94</v>
      </c>
      <c r="C41" s="153"/>
      <c r="D41" s="90"/>
      <c r="E41" s="157">
        <v>1</v>
      </c>
      <c r="F41" s="189"/>
      <c r="G41" s="208">
        <v>5</v>
      </c>
      <c r="H41" s="172">
        <f>+G41*E41+F41</f>
        <v>5</v>
      </c>
      <c r="I41" s="151">
        <v>19.57</v>
      </c>
      <c r="J41" s="91"/>
      <c r="K41" s="156">
        <f t="shared" si="4"/>
        <v>5</v>
      </c>
      <c r="L41" s="109">
        <f t="shared" si="1"/>
        <v>38.69505216637929</v>
      </c>
      <c r="M41" s="583">
        <v>39</v>
      </c>
    </row>
    <row r="42" spans="1:17" s="1" customFormat="1" ht="16.5" customHeight="1">
      <c r="A42" s="177" t="s">
        <v>16</v>
      </c>
      <c r="B42" s="178" t="s">
        <v>179</v>
      </c>
      <c r="C42" s="177">
        <v>12</v>
      </c>
      <c r="D42" s="177">
        <f>SUM(D43:D50)</f>
        <v>112</v>
      </c>
      <c r="E42" s="177">
        <f>SUM(E43:E50)</f>
        <v>66</v>
      </c>
      <c r="F42" s="190"/>
      <c r="G42" s="282"/>
      <c r="H42" s="177">
        <f>SUM(H43:H50)</f>
        <v>70</v>
      </c>
      <c r="I42" s="177">
        <f>SUM(I43:I50)</f>
        <v>97.1669898341649</v>
      </c>
      <c r="J42" s="177">
        <f>SUM(J43:J50)</f>
        <v>6.757048475124735</v>
      </c>
      <c r="K42" s="6">
        <f>SUM(K43:K50)</f>
        <v>190.25704847512475</v>
      </c>
      <c r="L42" s="122">
        <f t="shared" si="1"/>
        <v>1472.4012831532611</v>
      </c>
      <c r="M42" s="585">
        <f>SUM(M43:M50)</f>
        <v>1472</v>
      </c>
      <c r="N42" s="72">
        <v>14</v>
      </c>
      <c r="O42" s="72"/>
      <c r="P42" s="72"/>
      <c r="Q42" s="72"/>
    </row>
    <row r="43" spans="1:17" s="101" customFormat="1" ht="16.5" customHeight="1">
      <c r="A43" s="109">
        <v>1</v>
      </c>
      <c r="B43" s="105" t="s">
        <v>167</v>
      </c>
      <c r="C43" s="33"/>
      <c r="D43" s="69">
        <v>28</v>
      </c>
      <c r="E43" s="33">
        <v>11</v>
      </c>
      <c r="F43" s="185"/>
      <c r="G43" s="66"/>
      <c r="H43" s="64"/>
      <c r="I43" s="273">
        <v>11.215502055196712</v>
      </c>
      <c r="J43" s="112">
        <f>+I43*0.15</f>
        <v>1.6823253082795067</v>
      </c>
      <c r="K43" s="113">
        <f aca="true" t="shared" si="6" ref="K43:K50">D43+F43+H43+J43</f>
        <v>29.682325308279506</v>
      </c>
      <c r="L43" s="109">
        <f t="shared" si="1"/>
        <v>229.71182524466315</v>
      </c>
      <c r="M43" s="583">
        <v>230</v>
      </c>
      <c r="N43" s="3"/>
      <c r="O43" s="3"/>
      <c r="P43" s="3"/>
      <c r="Q43" s="3"/>
    </row>
    <row r="44" spans="1:17" s="101" customFormat="1" ht="16.5" customHeight="1">
      <c r="A44" s="109">
        <v>2</v>
      </c>
      <c r="B44" s="105" t="s">
        <v>168</v>
      </c>
      <c r="C44" s="33"/>
      <c r="D44" s="69">
        <v>28</v>
      </c>
      <c r="E44" s="33">
        <v>14</v>
      </c>
      <c r="F44" s="185"/>
      <c r="G44" s="66"/>
      <c r="H44" s="64"/>
      <c r="I44" s="273">
        <v>11.181640625</v>
      </c>
      <c r="J44" s="112">
        <f>+I44*0.15</f>
        <v>1.67724609375</v>
      </c>
      <c r="K44" s="113">
        <f t="shared" si="6"/>
        <v>29.67724609375</v>
      </c>
      <c r="L44" s="109">
        <f t="shared" si="1"/>
        <v>229.67251715042647</v>
      </c>
      <c r="M44" s="583">
        <v>230</v>
      </c>
      <c r="N44" s="3"/>
      <c r="O44" s="3"/>
      <c r="P44" s="3"/>
      <c r="Q44" s="3"/>
    </row>
    <row r="45" spans="1:17" s="89" customFormat="1" ht="16.5" customHeight="1">
      <c r="A45" s="109">
        <v>3</v>
      </c>
      <c r="B45" s="105" t="s">
        <v>169</v>
      </c>
      <c r="C45" s="33"/>
      <c r="D45" s="69">
        <v>28</v>
      </c>
      <c r="E45" s="33">
        <v>13</v>
      </c>
      <c r="F45" s="185"/>
      <c r="G45" s="66"/>
      <c r="H45" s="64"/>
      <c r="I45" s="273">
        <v>8.541320022185246</v>
      </c>
      <c r="J45" s="112">
        <f>+I45*0.15</f>
        <v>1.281198003327787</v>
      </c>
      <c r="K45" s="113">
        <f t="shared" si="6"/>
        <v>29.281198003327788</v>
      </c>
      <c r="L45" s="109">
        <f t="shared" si="1"/>
        <v>226.60749684656997</v>
      </c>
      <c r="M45" s="583">
        <v>226</v>
      </c>
      <c r="N45" s="3"/>
      <c r="O45" s="3"/>
      <c r="P45" s="3"/>
      <c r="Q45" s="3"/>
    </row>
    <row r="46" spans="1:17" s="101" customFormat="1" ht="16.5" customHeight="1">
      <c r="A46" s="109">
        <v>4</v>
      </c>
      <c r="B46" s="105" t="s">
        <v>170</v>
      </c>
      <c r="C46" s="33"/>
      <c r="D46" s="69">
        <v>28</v>
      </c>
      <c r="E46" s="33">
        <v>13</v>
      </c>
      <c r="F46" s="185"/>
      <c r="G46" s="66"/>
      <c r="H46" s="64"/>
      <c r="I46" s="273">
        <v>14.108527131782948</v>
      </c>
      <c r="J46" s="112">
        <f>+I46*0.15</f>
        <v>2.116279069767442</v>
      </c>
      <c r="K46" s="113">
        <f t="shared" si="6"/>
        <v>30.116279069767444</v>
      </c>
      <c r="L46" s="109">
        <f t="shared" si="1"/>
        <v>233.0701979323776</v>
      </c>
      <c r="M46" s="583">
        <v>233</v>
      </c>
      <c r="N46" s="3"/>
      <c r="O46" s="3"/>
      <c r="P46" s="3"/>
      <c r="Q46" s="3"/>
    </row>
    <row r="47" spans="1:13" s="89" customFormat="1" ht="16.5" customHeight="1">
      <c r="A47" s="160">
        <v>5</v>
      </c>
      <c r="B47" s="161" t="s">
        <v>85</v>
      </c>
      <c r="C47" s="159"/>
      <c r="D47" s="90"/>
      <c r="E47" s="159">
        <v>3</v>
      </c>
      <c r="F47" s="184"/>
      <c r="G47" s="208">
        <v>5</v>
      </c>
      <c r="H47" s="155">
        <f>+G47*E47+F47</f>
        <v>15</v>
      </c>
      <c r="I47" s="162">
        <v>7.57</v>
      </c>
      <c r="J47" s="91"/>
      <c r="K47" s="156">
        <f t="shared" si="6"/>
        <v>15</v>
      </c>
      <c r="L47" s="109">
        <f t="shared" si="1"/>
        <v>116.08515649913787</v>
      </c>
      <c r="M47" s="583">
        <v>116</v>
      </c>
    </row>
    <row r="48" spans="1:13" s="89" customFormat="1" ht="16.5" customHeight="1">
      <c r="A48" s="160">
        <v>6</v>
      </c>
      <c r="B48" s="161" t="s">
        <v>86</v>
      </c>
      <c r="C48" s="159"/>
      <c r="D48" s="90"/>
      <c r="E48" s="159">
        <v>5</v>
      </c>
      <c r="F48" s="184">
        <v>1.5</v>
      </c>
      <c r="G48" s="208">
        <v>5</v>
      </c>
      <c r="H48" s="155">
        <f>+G48*4</f>
        <v>20</v>
      </c>
      <c r="I48" s="162">
        <v>14.39</v>
      </c>
      <c r="J48" s="91"/>
      <c r="K48" s="156">
        <f t="shared" si="6"/>
        <v>21.5</v>
      </c>
      <c r="L48" s="109">
        <f t="shared" si="1"/>
        <v>166.38872431543095</v>
      </c>
      <c r="M48" s="583">
        <v>166</v>
      </c>
    </row>
    <row r="49" spans="1:13" s="89" customFormat="1" ht="16.5" customHeight="1">
      <c r="A49" s="160">
        <v>11</v>
      </c>
      <c r="B49" s="161" t="s">
        <v>88</v>
      </c>
      <c r="C49" s="159"/>
      <c r="D49" s="90"/>
      <c r="E49" s="159">
        <v>4</v>
      </c>
      <c r="F49" s="184"/>
      <c r="G49" s="208">
        <v>5</v>
      </c>
      <c r="H49" s="155">
        <f>+G49*E49+F49</f>
        <v>20</v>
      </c>
      <c r="I49" s="162">
        <v>24.85</v>
      </c>
      <c r="J49" s="91"/>
      <c r="K49" s="156">
        <f t="shared" si="6"/>
        <v>20</v>
      </c>
      <c r="L49" s="109">
        <f t="shared" si="1"/>
        <v>154.78020866551716</v>
      </c>
      <c r="M49" s="583">
        <v>155</v>
      </c>
    </row>
    <row r="50" spans="1:13" s="170" customFormat="1" ht="16.5" customHeight="1">
      <c r="A50" s="165">
        <v>12</v>
      </c>
      <c r="B50" s="166" t="s">
        <v>87</v>
      </c>
      <c r="C50" s="167"/>
      <c r="D50" s="168"/>
      <c r="E50" s="167">
        <v>3</v>
      </c>
      <c r="F50" s="191"/>
      <c r="G50" s="208">
        <v>5</v>
      </c>
      <c r="H50" s="155">
        <f>+G50*E50+F50</f>
        <v>15</v>
      </c>
      <c r="I50" s="169">
        <v>5.31</v>
      </c>
      <c r="J50" s="91"/>
      <c r="K50" s="156">
        <f t="shared" si="6"/>
        <v>15</v>
      </c>
      <c r="L50" s="109">
        <f t="shared" si="1"/>
        <v>116.08515649913787</v>
      </c>
      <c r="M50" s="583">
        <v>116</v>
      </c>
    </row>
    <row r="51" spans="1:17" s="1" customFormat="1" ht="16.5" customHeight="1">
      <c r="A51" s="126" t="s">
        <v>19</v>
      </c>
      <c r="B51" s="127" t="s">
        <v>180</v>
      </c>
      <c r="C51" s="128">
        <v>14</v>
      </c>
      <c r="D51" s="38">
        <f>SUM(D52:D58)</f>
        <v>28</v>
      </c>
      <c r="E51" s="38">
        <f>SUM(E52:E58)</f>
        <v>29</v>
      </c>
      <c r="F51" s="192"/>
      <c r="G51" s="282"/>
      <c r="H51" s="129">
        <f>SUM(H52:H58)</f>
        <v>90</v>
      </c>
      <c r="I51" s="129">
        <f>SUM(I52:I58)</f>
        <v>59.96</v>
      </c>
      <c r="J51" s="129">
        <f>SUM(J52:J58)</f>
        <v>1.341</v>
      </c>
      <c r="K51" s="111">
        <f>SUM(K52:K58)</f>
        <v>122.34100000000001</v>
      </c>
      <c r="L51" s="122">
        <f>+$L$63*K51</f>
        <v>946.7982754174018</v>
      </c>
      <c r="M51" s="585">
        <f>SUM(M52:M58)</f>
        <v>947</v>
      </c>
      <c r="N51" s="72">
        <v>16</v>
      </c>
      <c r="O51" s="72"/>
      <c r="P51" s="72"/>
      <c r="Q51" s="72"/>
    </row>
    <row r="52" spans="1:13" ht="16.5" customHeight="1">
      <c r="A52" s="22">
        <v>1</v>
      </c>
      <c r="B52" s="71" t="s">
        <v>54</v>
      </c>
      <c r="C52" s="34"/>
      <c r="D52" s="69">
        <v>28</v>
      </c>
      <c r="E52" s="35">
        <v>10</v>
      </c>
      <c r="F52" s="193"/>
      <c r="G52" s="66"/>
      <c r="H52" s="64"/>
      <c r="I52" s="36">
        <v>8.94</v>
      </c>
      <c r="J52" s="112">
        <f>+I52*0.15</f>
        <v>1.341</v>
      </c>
      <c r="K52" s="113">
        <f aca="true" t="shared" si="7" ref="K52:K58">D52+F52+H52+J52</f>
        <v>29.341</v>
      </c>
      <c r="L52" s="109">
        <f t="shared" si="1"/>
        <v>227.07030512274696</v>
      </c>
      <c r="M52" s="583">
        <v>227</v>
      </c>
    </row>
    <row r="53" spans="1:13" s="89" customFormat="1" ht="16.5" customHeight="1">
      <c r="A53" s="151">
        <v>2</v>
      </c>
      <c r="B53" s="152" t="s">
        <v>23</v>
      </c>
      <c r="C53" s="153"/>
      <c r="D53" s="90"/>
      <c r="E53" s="163">
        <v>5</v>
      </c>
      <c r="F53" s="194">
        <v>1.5</v>
      </c>
      <c r="G53" s="208">
        <v>5</v>
      </c>
      <c r="H53" s="155">
        <v>20</v>
      </c>
      <c r="I53" s="164">
        <v>6.24</v>
      </c>
      <c r="J53" s="91"/>
      <c r="K53" s="156">
        <f t="shared" si="7"/>
        <v>21.5</v>
      </c>
      <c r="L53" s="109">
        <f>+$L$63*K53</f>
        <v>166.38872431543095</v>
      </c>
      <c r="M53" s="583">
        <v>166</v>
      </c>
    </row>
    <row r="54" spans="1:13" s="89" customFormat="1" ht="16.5" customHeight="1">
      <c r="A54" s="151">
        <v>3</v>
      </c>
      <c r="B54" s="152" t="s">
        <v>55</v>
      </c>
      <c r="C54" s="153"/>
      <c r="D54" s="90"/>
      <c r="E54" s="163">
        <v>6</v>
      </c>
      <c r="F54" s="194">
        <v>1.5</v>
      </c>
      <c r="G54" s="208">
        <v>5</v>
      </c>
      <c r="H54" s="155">
        <v>20</v>
      </c>
      <c r="I54" s="164">
        <v>5.57</v>
      </c>
      <c r="J54" s="91"/>
      <c r="K54" s="156">
        <f t="shared" si="7"/>
        <v>21.5</v>
      </c>
      <c r="L54" s="109">
        <f>+$L$63*K54</f>
        <v>166.38872431543095</v>
      </c>
      <c r="M54" s="583">
        <v>166</v>
      </c>
    </row>
    <row r="55" spans="1:13" s="89" customFormat="1" ht="16.5" customHeight="1">
      <c r="A55" s="151">
        <v>4</v>
      </c>
      <c r="B55" s="152" t="s">
        <v>56</v>
      </c>
      <c r="C55" s="153"/>
      <c r="D55" s="90"/>
      <c r="E55" s="163">
        <v>3</v>
      </c>
      <c r="F55" s="194"/>
      <c r="G55" s="208">
        <v>5</v>
      </c>
      <c r="H55" s="155">
        <f>+G55*E55+F55</f>
        <v>15</v>
      </c>
      <c r="I55" s="164">
        <v>8.31</v>
      </c>
      <c r="J55" s="91"/>
      <c r="K55" s="156">
        <f t="shared" si="7"/>
        <v>15</v>
      </c>
      <c r="L55" s="109">
        <f t="shared" si="1"/>
        <v>116.08515649913787</v>
      </c>
      <c r="M55" s="583">
        <v>116</v>
      </c>
    </row>
    <row r="56" spans="1:13" s="89" customFormat="1" ht="16.5" customHeight="1">
      <c r="A56" s="151">
        <v>5</v>
      </c>
      <c r="B56" s="152" t="s">
        <v>57</v>
      </c>
      <c r="C56" s="153"/>
      <c r="D56" s="90"/>
      <c r="E56" s="163">
        <v>2</v>
      </c>
      <c r="F56" s="194"/>
      <c r="G56" s="208">
        <v>5</v>
      </c>
      <c r="H56" s="155">
        <v>20</v>
      </c>
      <c r="I56" s="164">
        <v>5.14</v>
      </c>
      <c r="J56" s="91"/>
      <c r="K56" s="156">
        <f t="shared" si="7"/>
        <v>20</v>
      </c>
      <c r="L56" s="109">
        <f>+$L$63*K56</f>
        <v>154.78020866551716</v>
      </c>
      <c r="M56" s="583">
        <v>155</v>
      </c>
    </row>
    <row r="57" spans="1:13" s="89" customFormat="1" ht="16.5" customHeight="1">
      <c r="A57" s="151">
        <v>6</v>
      </c>
      <c r="B57" s="152" t="s">
        <v>38</v>
      </c>
      <c r="C57" s="153"/>
      <c r="D57" s="90"/>
      <c r="E57" s="163">
        <v>1</v>
      </c>
      <c r="F57" s="194"/>
      <c r="G57" s="208">
        <v>5</v>
      </c>
      <c r="H57" s="155">
        <f>+G57*E57+F57</f>
        <v>5</v>
      </c>
      <c r="I57" s="164">
        <v>12.62</v>
      </c>
      <c r="J57" s="91"/>
      <c r="K57" s="156">
        <f t="shared" si="7"/>
        <v>5</v>
      </c>
      <c r="L57" s="109">
        <f t="shared" si="1"/>
        <v>38.69505216637929</v>
      </c>
      <c r="M57" s="583">
        <v>40</v>
      </c>
    </row>
    <row r="58" spans="1:13" s="89" customFormat="1" ht="16.5" customHeight="1">
      <c r="A58" s="151">
        <v>7</v>
      </c>
      <c r="B58" s="152" t="s">
        <v>58</v>
      </c>
      <c r="C58" s="153"/>
      <c r="D58" s="90"/>
      <c r="E58" s="163">
        <v>2</v>
      </c>
      <c r="F58" s="194"/>
      <c r="G58" s="208">
        <v>5</v>
      </c>
      <c r="H58" s="155">
        <f>+G58*E58+F58</f>
        <v>10</v>
      </c>
      <c r="I58" s="164">
        <v>13.14</v>
      </c>
      <c r="J58" s="91"/>
      <c r="K58" s="156">
        <f t="shared" si="7"/>
        <v>10</v>
      </c>
      <c r="L58" s="109">
        <f>+$L$63*K58</f>
        <v>77.39010433275858</v>
      </c>
      <c r="M58" s="583">
        <v>77</v>
      </c>
    </row>
    <row r="59" spans="1:17" s="1" customFormat="1" ht="15">
      <c r="A59" s="72"/>
      <c r="B59" s="132" t="s">
        <v>130</v>
      </c>
      <c r="C59" s="132"/>
      <c r="D59" s="132"/>
      <c r="E59" s="133">
        <f>+E51+E42+E26+E7+E5</f>
        <v>286</v>
      </c>
      <c r="F59" s="195"/>
      <c r="G59" s="133"/>
      <c r="H59" s="134">
        <f>+H51+H42+H26+H7+H5</f>
        <v>304</v>
      </c>
      <c r="I59" s="134">
        <f>+I51+I42+I26+I7+I5</f>
        <v>947.1004786078931</v>
      </c>
      <c r="J59" s="134">
        <f>+J51+J42+J26+J7+J5</f>
        <v>101.61457179118396</v>
      </c>
      <c r="K59" s="135">
        <f>+K51+K42+K26+K7+K5</f>
        <v>1229.614571791184</v>
      </c>
      <c r="L59" s="230">
        <f>+L51+L42+L26+L7+L5</f>
        <v>9515.999999999998</v>
      </c>
      <c r="M59" s="262"/>
      <c r="N59" s="72"/>
      <c r="O59" s="72"/>
      <c r="P59" s="72"/>
      <c r="Q59" s="72"/>
    </row>
    <row r="60" spans="1:17" s="1" customFormat="1" ht="15">
      <c r="A60" s="72"/>
      <c r="B60" s="257"/>
      <c r="C60" s="257"/>
      <c r="D60" s="257"/>
      <c r="E60" s="258"/>
      <c r="F60" s="259"/>
      <c r="G60" s="258"/>
      <c r="H60" s="260"/>
      <c r="I60" s="260"/>
      <c r="J60" s="260"/>
      <c r="K60" s="261"/>
      <c r="L60" s="261"/>
      <c r="M60" s="261"/>
      <c r="N60" s="72"/>
      <c r="O60" s="72"/>
      <c r="P60" s="72"/>
      <c r="Q60" s="72"/>
    </row>
    <row r="61" spans="7:14" ht="15">
      <c r="G61" s="745"/>
      <c r="H61" s="746"/>
      <c r="I61" s="739" t="s">
        <v>175</v>
      </c>
      <c r="J61" s="740"/>
      <c r="K61" s="283" t="s">
        <v>222</v>
      </c>
      <c r="L61" s="284" t="s">
        <v>223</v>
      </c>
      <c r="M61" s="284"/>
      <c r="N61" s="196"/>
    </row>
    <row r="62" spans="3:14" ht="15">
      <c r="C62" s="196"/>
      <c r="D62" s="196"/>
      <c r="G62" s="738" t="s">
        <v>316</v>
      </c>
      <c r="H62" s="738"/>
      <c r="I62" s="741">
        <v>10087</v>
      </c>
      <c r="J62" s="742"/>
      <c r="K62" s="216">
        <v>571</v>
      </c>
      <c r="L62" s="253">
        <f>+I62-K62</f>
        <v>9516</v>
      </c>
      <c r="M62" s="586"/>
      <c r="N62" s="566"/>
    </row>
    <row r="63" spans="7:17" ht="15">
      <c r="G63" s="738" t="s">
        <v>142</v>
      </c>
      <c r="H63" s="738"/>
      <c r="I63" s="743">
        <f>+I62/K59</f>
        <v>8.203383589791255</v>
      </c>
      <c r="J63" s="744"/>
      <c r="K63" s="252"/>
      <c r="L63" s="285">
        <f>+L62/K59</f>
        <v>7.739010433275858</v>
      </c>
      <c r="M63" s="587"/>
      <c r="Q63" s="1"/>
    </row>
    <row r="64" spans="2:19" ht="15">
      <c r="B64" s="197"/>
      <c r="Q64" s="393"/>
      <c r="S64">
        <v>18968</v>
      </c>
    </row>
    <row r="65" spans="2:19" ht="39">
      <c r="B65" s="277" t="s">
        <v>219</v>
      </c>
      <c r="C65" s="278"/>
      <c r="D65" s="279">
        <v>8473</v>
      </c>
      <c r="E65" s="280">
        <f>C65+D65</f>
        <v>8473</v>
      </c>
      <c r="F65" s="179">
        <v>12787</v>
      </c>
      <c r="Q65"/>
      <c r="S65">
        <f>6181+2700</f>
        <v>8881</v>
      </c>
    </row>
    <row r="66" spans="2:19" ht="25.5">
      <c r="B66" s="277" t="s">
        <v>220</v>
      </c>
      <c r="C66" s="278">
        <v>6181</v>
      </c>
      <c r="D66" s="279">
        <v>2700</v>
      </c>
      <c r="E66" s="280">
        <f>C66+D66</f>
        <v>8881</v>
      </c>
      <c r="P66" s="3">
        <v>12787</v>
      </c>
      <c r="Q66" s="568"/>
      <c r="S66" s="89">
        <f>S64-S65</f>
        <v>10087</v>
      </c>
    </row>
    <row r="67" spans="2:17" ht="25.5">
      <c r="B67" s="277" t="s">
        <v>221</v>
      </c>
      <c r="C67" s="278"/>
      <c r="D67" s="279">
        <v>571</v>
      </c>
      <c r="E67" s="280">
        <v>571</v>
      </c>
      <c r="J67" s="227"/>
      <c r="P67" s="491">
        <f>P66-D66</f>
        <v>10087</v>
      </c>
      <c r="Q67" s="491">
        <f>P67-1650</f>
        <v>8437</v>
      </c>
    </row>
  </sheetData>
  <sheetProtection/>
  <mergeCells count="9">
    <mergeCell ref="N4:O4"/>
    <mergeCell ref="A1:L1"/>
    <mergeCell ref="A2:L2"/>
    <mergeCell ref="G62:H62"/>
    <mergeCell ref="G63:H63"/>
    <mergeCell ref="I61:J61"/>
    <mergeCell ref="I62:J62"/>
    <mergeCell ref="I63:J63"/>
    <mergeCell ref="G61:H61"/>
  </mergeCells>
  <printOptions/>
  <pageMargins left="0.196850393700787" right="0.236220472440945" top="0.196850393700787" bottom="0.196850393700787" header="0.275590551181102" footer="0.511811023622047"/>
  <pageSetup horizontalDpi="600" verticalDpi="600" orientation="landscape" paperSize="9" r:id="rId1"/>
  <headerFooter differentFirst="1" alignWithMargins="0">
    <oddHeader>&amp;C&amp;P</oddHeader>
  </headerFooter>
</worksheet>
</file>

<file path=xl/worksheets/sheet7.xml><?xml version="1.0" encoding="utf-8"?>
<worksheet xmlns="http://schemas.openxmlformats.org/spreadsheetml/2006/main" xmlns:r="http://schemas.openxmlformats.org/officeDocument/2006/relationships">
  <dimension ref="A1:V162"/>
  <sheetViews>
    <sheetView zoomScalePageLayoutView="0" workbookViewId="0" topLeftCell="A1">
      <pane xSplit="1" ySplit="2" topLeftCell="B3" activePane="bottomRight" state="frozen"/>
      <selection pane="topLeft" activeCell="A1" sqref="A1"/>
      <selection pane="topRight" activeCell="B1" sqref="B1"/>
      <selection pane="bottomLeft" activeCell="A8" sqref="A8"/>
      <selection pane="bottomRight" activeCell="L15" sqref="L15"/>
    </sheetView>
  </sheetViews>
  <sheetFormatPr defaultColWidth="9.00390625" defaultRowHeight="15.75"/>
  <cols>
    <col min="1" max="1" width="3.375" style="3" bestFit="1" customWidth="1"/>
    <col min="2" max="2" width="15.625" style="3" customWidth="1"/>
    <col min="3" max="3" width="5.50390625" style="219" customWidth="1"/>
    <col min="4" max="4" width="4.875" style="219" bestFit="1" customWidth="1"/>
    <col min="5" max="5" width="5.75390625" style="219" customWidth="1"/>
    <col min="6" max="6" width="6.625" style="302" customWidth="1"/>
    <col min="7" max="7" width="6.625" style="3" bestFit="1" customWidth="1"/>
    <col min="8" max="8" width="5.125" style="3" bestFit="1" customWidth="1"/>
    <col min="9" max="10" width="4.875" style="3" bestFit="1" customWidth="1"/>
    <col min="11" max="11" width="5.125" style="3" bestFit="1" customWidth="1"/>
    <col min="12" max="13" width="4.875" style="3" bestFit="1" customWidth="1"/>
    <col min="14" max="14" width="5.75390625" style="3" customWidth="1"/>
    <col min="15" max="16" width="4.875" style="3" customWidth="1"/>
    <col min="17" max="17" width="6.375" style="101" customWidth="1"/>
    <col min="18" max="18" width="14.75390625" style="3" customWidth="1"/>
    <col min="19" max="19" width="11.875" style="3" customWidth="1"/>
    <col min="20" max="20" width="9.75390625" style="3" customWidth="1"/>
    <col min="21" max="21" width="10.375" style="3" customWidth="1"/>
    <col min="22" max="16384" width="9.00390625" style="3" customWidth="1"/>
  </cols>
  <sheetData>
    <row r="1" spans="1:18" ht="21" customHeight="1">
      <c r="A1" s="692" t="s">
        <v>331</v>
      </c>
      <c r="B1" s="692"/>
      <c r="C1" s="692"/>
      <c r="D1" s="692"/>
      <c r="E1" s="692"/>
      <c r="F1" s="692"/>
      <c r="G1" s="692"/>
      <c r="H1" s="692"/>
      <c r="I1" s="692"/>
      <c r="J1" s="692"/>
      <c r="K1" s="692"/>
      <c r="L1" s="692"/>
      <c r="M1" s="692"/>
      <c r="N1" s="692"/>
      <c r="O1" s="692"/>
      <c r="P1" s="692"/>
      <c r="Q1" s="692"/>
      <c r="R1" s="692"/>
    </row>
    <row r="2" spans="1:17" s="115" customFormat="1" ht="18">
      <c r="A2" s="737"/>
      <c r="B2" s="737"/>
      <c r="C2" s="737"/>
      <c r="D2" s="737"/>
      <c r="E2" s="737"/>
      <c r="F2" s="303"/>
      <c r="Q2" s="306"/>
    </row>
    <row r="3" spans="1:22" s="72" customFormat="1" ht="35.25" customHeight="1">
      <c r="A3" s="132" t="s">
        <v>0</v>
      </c>
      <c r="B3" s="132" t="s">
        <v>193</v>
      </c>
      <c r="C3" s="751" t="s">
        <v>311</v>
      </c>
      <c r="D3" s="752"/>
      <c r="E3" s="753"/>
      <c r="F3" s="754" t="s">
        <v>312</v>
      </c>
      <c r="G3" s="756" t="s">
        <v>313</v>
      </c>
      <c r="H3" s="749" t="s">
        <v>300</v>
      </c>
      <c r="I3" s="750"/>
      <c r="J3" s="750"/>
      <c r="K3" s="749" t="s">
        <v>301</v>
      </c>
      <c r="L3" s="750"/>
      <c r="M3" s="750"/>
      <c r="N3" s="749" t="s">
        <v>308</v>
      </c>
      <c r="O3" s="750"/>
      <c r="P3" s="750"/>
      <c r="Q3" s="307" t="s">
        <v>309</v>
      </c>
      <c r="R3" s="132" t="s">
        <v>140</v>
      </c>
      <c r="T3" s="72" t="s">
        <v>141</v>
      </c>
      <c r="U3" s="72" t="s">
        <v>183</v>
      </c>
      <c r="V3" s="72" t="s">
        <v>405</v>
      </c>
    </row>
    <row r="4" spans="1:18" s="311" customFormat="1" ht="33" customHeight="1">
      <c r="A4" s="309"/>
      <c r="B4" s="309"/>
      <c r="C4" s="312" t="s">
        <v>292</v>
      </c>
      <c r="D4" s="313" t="s">
        <v>293</v>
      </c>
      <c r="E4" s="313" t="s">
        <v>294</v>
      </c>
      <c r="F4" s="755"/>
      <c r="G4" s="757"/>
      <c r="H4" s="312" t="s">
        <v>292</v>
      </c>
      <c r="I4" s="313" t="s">
        <v>293</v>
      </c>
      <c r="J4" s="313" t="s">
        <v>294</v>
      </c>
      <c r="K4" s="312" t="s">
        <v>292</v>
      </c>
      <c r="L4" s="313" t="s">
        <v>293</v>
      </c>
      <c r="M4" s="313" t="s">
        <v>294</v>
      </c>
      <c r="N4" s="313" t="s">
        <v>306</v>
      </c>
      <c r="O4" s="313" t="s">
        <v>307</v>
      </c>
      <c r="P4" s="313" t="s">
        <v>294</v>
      </c>
      <c r="Q4" s="314"/>
      <c r="R4" s="309"/>
    </row>
    <row r="5" spans="1:22" ht="15">
      <c r="A5" s="242"/>
      <c r="B5" s="242" t="s">
        <v>287</v>
      </c>
      <c r="C5" s="254"/>
      <c r="D5" s="254">
        <v>2.5</v>
      </c>
      <c r="E5" s="254">
        <f>+D5*C5</f>
        <v>0</v>
      </c>
      <c r="F5" s="304">
        <f>+E5</f>
        <v>0</v>
      </c>
      <c r="G5" s="242">
        <f>+F5*$C$16</f>
        <v>0</v>
      </c>
      <c r="H5" s="254">
        <v>14</v>
      </c>
      <c r="I5" s="254">
        <v>9</v>
      </c>
      <c r="J5" s="242">
        <f>+I5*H5</f>
        <v>126</v>
      </c>
      <c r="K5" s="254">
        <v>11</v>
      </c>
      <c r="L5" s="254">
        <v>1.8</v>
      </c>
      <c r="M5" s="242">
        <f>+L5*K5</f>
        <v>19.8</v>
      </c>
      <c r="N5" s="242">
        <v>33.36</v>
      </c>
      <c r="O5" s="242">
        <v>0.03</v>
      </c>
      <c r="P5" s="244">
        <f>+O5*N5</f>
        <v>1.0008</v>
      </c>
      <c r="Q5" s="308">
        <f>+M5+J5+P5</f>
        <v>146.8008</v>
      </c>
      <c r="R5" s="244">
        <f>+F5+Q5</f>
        <v>146.8008</v>
      </c>
      <c r="T5" s="329">
        <f>U5+V5</f>
        <v>1440.5749487980195</v>
      </c>
      <c r="U5" s="329">
        <f>+'DA 4 b'!O7</f>
        <v>1440.5749487980195</v>
      </c>
      <c r="V5" s="3">
        <f>G5</f>
        <v>0</v>
      </c>
    </row>
    <row r="6" spans="1:22" ht="15">
      <c r="A6" s="242"/>
      <c r="B6" s="242" t="s">
        <v>288</v>
      </c>
      <c r="C6" s="254"/>
      <c r="D6" s="254">
        <v>2.5</v>
      </c>
      <c r="E6" s="254">
        <f>+D6*C6</f>
        <v>0</v>
      </c>
      <c r="F6" s="304">
        <f>+E6</f>
        <v>0</v>
      </c>
      <c r="G6" s="242">
        <f>+F6*$C$16</f>
        <v>0</v>
      </c>
      <c r="H6" s="242">
        <v>9</v>
      </c>
      <c r="I6" s="254">
        <v>9</v>
      </c>
      <c r="J6" s="242">
        <f>+I6*H6</f>
        <v>81</v>
      </c>
      <c r="K6" s="242">
        <v>12</v>
      </c>
      <c r="L6" s="254">
        <v>1.8</v>
      </c>
      <c r="M6" s="242">
        <f>+L6*K6</f>
        <v>21.6</v>
      </c>
      <c r="N6" s="242">
        <v>24.07</v>
      </c>
      <c r="O6" s="242">
        <v>0.03</v>
      </c>
      <c r="P6" s="244">
        <f>+O6*N6</f>
        <v>0.7221</v>
      </c>
      <c r="Q6" s="308">
        <f>+M6+J6+P6</f>
        <v>103.32209999999999</v>
      </c>
      <c r="R6" s="244">
        <f>+F6+Q6</f>
        <v>103.32209999999999</v>
      </c>
      <c r="T6" s="329">
        <f>U6+V6</f>
        <v>969.6572865629777</v>
      </c>
      <c r="U6" s="329">
        <f>'DA 4 b'!O25</f>
        <v>969.6572865629777</v>
      </c>
      <c r="V6" s="3">
        <f>G6</f>
        <v>0</v>
      </c>
    </row>
    <row r="7" spans="1:22" ht="15">
      <c r="A7" s="242"/>
      <c r="B7" s="242" t="s">
        <v>289</v>
      </c>
      <c r="C7" s="254"/>
      <c r="D7" s="254">
        <v>2.5</v>
      </c>
      <c r="E7" s="254">
        <f>+D7*C7</f>
        <v>0</v>
      </c>
      <c r="F7" s="304">
        <f>+E7</f>
        <v>0</v>
      </c>
      <c r="G7" s="242">
        <f>+F7*$C$16</f>
        <v>0</v>
      </c>
      <c r="H7" s="242">
        <v>4</v>
      </c>
      <c r="I7" s="254">
        <v>9</v>
      </c>
      <c r="J7" s="242">
        <f>+I7*H7</f>
        <v>36</v>
      </c>
      <c r="K7" s="242">
        <v>14</v>
      </c>
      <c r="L7" s="254">
        <v>1.8</v>
      </c>
      <c r="M7" s="242">
        <f>+L7*K7</f>
        <v>25.2</v>
      </c>
      <c r="N7" s="242">
        <v>17.63</v>
      </c>
      <c r="O7" s="242">
        <v>0.03</v>
      </c>
      <c r="P7" s="244">
        <f>+O7*N7</f>
        <v>0.5288999999999999</v>
      </c>
      <c r="Q7" s="308">
        <f>+M7+J7+P7</f>
        <v>61.7289</v>
      </c>
      <c r="R7" s="244">
        <f>+F7+Q7</f>
        <v>61.7289</v>
      </c>
      <c r="T7" s="329">
        <f>U7+V7</f>
        <v>545.9694290843554</v>
      </c>
      <c r="U7" s="329">
        <f>'DA 4 b'!O41</f>
        <v>545.9694290843554</v>
      </c>
      <c r="V7" s="3">
        <f>G7</f>
        <v>0</v>
      </c>
    </row>
    <row r="8" spans="1:21" ht="15">
      <c r="A8" s="242"/>
      <c r="B8" s="242" t="s">
        <v>290</v>
      </c>
      <c r="C8" s="254"/>
      <c r="D8" s="254"/>
      <c r="E8" s="254"/>
      <c r="F8" s="304">
        <f>+E8</f>
        <v>0</v>
      </c>
      <c r="G8" s="242">
        <f>+F8*$C$16</f>
        <v>0</v>
      </c>
      <c r="H8" s="242">
        <v>1</v>
      </c>
      <c r="I8" s="254">
        <v>9</v>
      </c>
      <c r="J8" s="242">
        <f>+I8*H8</f>
        <v>9</v>
      </c>
      <c r="K8" s="242">
        <v>16</v>
      </c>
      <c r="L8" s="254">
        <v>1.8</v>
      </c>
      <c r="M8" s="242">
        <f>+L8*K8</f>
        <v>28.8</v>
      </c>
      <c r="N8" s="242">
        <v>16.1</v>
      </c>
      <c r="O8" s="242">
        <v>0.03</v>
      </c>
      <c r="P8" s="244">
        <f>+O8*N8</f>
        <v>0.48300000000000004</v>
      </c>
      <c r="Q8" s="308">
        <f>+M8+J8+P8</f>
        <v>38.282999999999994</v>
      </c>
      <c r="R8" s="244">
        <f>+F8+Q8</f>
        <v>38.282999999999994</v>
      </c>
      <c r="T8" s="329">
        <f>U8+V8</f>
        <v>304.560811088008</v>
      </c>
      <c r="U8" s="329">
        <f>'DA 4 b'!O50</f>
        <v>304.560811088008</v>
      </c>
    </row>
    <row r="9" spans="1:21" ht="15">
      <c r="A9" s="242"/>
      <c r="B9" s="301" t="s">
        <v>295</v>
      </c>
      <c r="C9" s="254"/>
      <c r="D9" s="254"/>
      <c r="E9" s="254"/>
      <c r="F9" s="304">
        <f>+E9</f>
        <v>0</v>
      </c>
      <c r="G9" s="242">
        <f>+F9*$C$16</f>
        <v>0</v>
      </c>
      <c r="H9" s="242"/>
      <c r="I9" s="254">
        <v>9</v>
      </c>
      <c r="J9" s="242">
        <f>+I9*H9</f>
        <v>0</v>
      </c>
      <c r="K9" s="242">
        <v>2</v>
      </c>
      <c r="L9" s="254">
        <v>1.8</v>
      </c>
      <c r="M9" s="242">
        <f>+L9*K9</f>
        <v>3.6</v>
      </c>
      <c r="N9" s="242"/>
      <c r="O9" s="242">
        <v>0.03</v>
      </c>
      <c r="P9" s="242">
        <f>+O9*N9</f>
        <v>0</v>
      </c>
      <c r="Q9" s="308">
        <f>+M9+J9+P9</f>
        <v>3.6</v>
      </c>
      <c r="R9" s="244">
        <f>+F9+Q9</f>
        <v>3.6</v>
      </c>
      <c r="T9" s="329">
        <f>U9+V9</f>
        <v>26.237524466639595</v>
      </c>
      <c r="U9" s="329">
        <f>'DA 4 b'!O5</f>
        <v>26.237524466639595</v>
      </c>
    </row>
    <row r="10" spans="1:21" s="72" customFormat="1" ht="15">
      <c r="A10" s="132"/>
      <c r="B10" s="132" t="s">
        <v>206</v>
      </c>
      <c r="C10" s="132">
        <f aca="true" t="shared" si="0" ref="C10:R10">SUM(C5:C9)</f>
        <v>0</v>
      </c>
      <c r="D10" s="132"/>
      <c r="E10" s="132">
        <f t="shared" si="0"/>
        <v>0</v>
      </c>
      <c r="F10" s="305">
        <f t="shared" si="0"/>
        <v>0</v>
      </c>
      <c r="G10" s="305">
        <f t="shared" si="0"/>
        <v>0</v>
      </c>
      <c r="H10" s="132">
        <f t="shared" si="0"/>
        <v>28</v>
      </c>
      <c r="I10" s="132"/>
      <c r="J10" s="132">
        <f t="shared" si="0"/>
        <v>252</v>
      </c>
      <c r="K10" s="132">
        <f t="shared" si="0"/>
        <v>55</v>
      </c>
      <c r="L10" s="132"/>
      <c r="M10" s="132">
        <f t="shared" si="0"/>
        <v>99</v>
      </c>
      <c r="N10" s="132">
        <f t="shared" si="0"/>
        <v>91.16</v>
      </c>
      <c r="O10" s="132"/>
      <c r="P10" s="132">
        <f t="shared" si="0"/>
        <v>2.7348</v>
      </c>
      <c r="Q10" s="132">
        <f t="shared" si="0"/>
        <v>353.73480000000006</v>
      </c>
      <c r="R10" s="132">
        <f t="shared" si="0"/>
        <v>353.73480000000006</v>
      </c>
      <c r="S10" s="72">
        <f>SUM(S5:S8)</f>
        <v>0</v>
      </c>
      <c r="T10" s="291">
        <f>SUM(T5:T9)</f>
        <v>3287</v>
      </c>
      <c r="U10" s="72">
        <f>SUM(U5:U9)</f>
        <v>3287</v>
      </c>
    </row>
    <row r="11" spans="1:18" s="315" customFormat="1" ht="12.75">
      <c r="A11" s="321"/>
      <c r="B11" s="321" t="s">
        <v>217</v>
      </c>
      <c r="C11" s="322"/>
      <c r="D11" s="322"/>
      <c r="E11" s="321">
        <f>+E10*C16</f>
        <v>0</v>
      </c>
      <c r="F11" s="321">
        <f>+F10*$C$16</f>
        <v>0</v>
      </c>
      <c r="G11" s="321"/>
      <c r="H11" s="321"/>
      <c r="I11" s="321"/>
      <c r="J11" s="321"/>
      <c r="K11" s="321"/>
      <c r="L11" s="321"/>
      <c r="M11" s="321"/>
      <c r="N11" s="321"/>
      <c r="O11" s="321"/>
      <c r="P11" s="321"/>
      <c r="Q11" s="321">
        <f>+Q10*$C$16</f>
        <v>3287</v>
      </c>
      <c r="R11" s="321">
        <f>+R10*$C$16</f>
        <v>3287</v>
      </c>
    </row>
    <row r="12" spans="2:18" s="315" customFormat="1" ht="12.75">
      <c r="B12" s="320"/>
      <c r="C12" s="317"/>
      <c r="D12" s="317"/>
      <c r="E12" s="317"/>
      <c r="R12" s="315">
        <f>+Q11+F11</f>
        <v>3287</v>
      </c>
    </row>
    <row r="13" spans="2:4" s="315" customFormat="1" ht="12.75">
      <c r="B13" s="320"/>
      <c r="C13" s="317"/>
      <c r="D13" s="317"/>
    </row>
    <row r="14" spans="3:5" ht="15">
      <c r="C14" s="116"/>
      <c r="D14" s="116"/>
      <c r="E14" s="116"/>
    </row>
    <row r="15" spans="2:5" ht="15">
      <c r="B15" s="150" t="s">
        <v>141</v>
      </c>
      <c r="C15" s="747" t="s">
        <v>305</v>
      </c>
      <c r="D15" s="747"/>
      <c r="E15" s="116"/>
    </row>
    <row r="16" spans="2:5" ht="15">
      <c r="B16" s="89">
        <v>3287</v>
      </c>
      <c r="C16" s="748">
        <f>+B16/R10</f>
        <v>9.29227206370422</v>
      </c>
      <c r="D16" s="748"/>
      <c r="E16" s="116"/>
    </row>
    <row r="17" spans="3:21" ht="15">
      <c r="C17" s="116"/>
      <c r="D17" s="116"/>
      <c r="E17" s="116"/>
      <c r="R17" s="3">
        <f>2200/8</f>
        <v>275</v>
      </c>
      <c r="U17" s="3">
        <f>38919+2200</f>
        <v>41119</v>
      </c>
    </row>
    <row r="18" spans="2:5" ht="15">
      <c r="B18" s="89">
        <f>3*275</f>
        <v>825</v>
      </c>
      <c r="C18" s="116"/>
      <c r="D18" s="116"/>
      <c r="E18" s="116"/>
    </row>
    <row r="19" spans="3:10" ht="15">
      <c r="C19" s="116"/>
      <c r="D19" s="116"/>
      <c r="E19" s="116">
        <v>4112</v>
      </c>
      <c r="G19" s="150" t="s">
        <v>601</v>
      </c>
      <c r="J19" s="3">
        <v>825</v>
      </c>
    </row>
    <row r="20" spans="2:5" ht="15">
      <c r="B20" s="3">
        <f>4112-B18</f>
        <v>3287</v>
      </c>
      <c r="C20" s="116"/>
      <c r="D20" s="116"/>
      <c r="E20" s="116"/>
    </row>
    <row r="21" spans="3:5" ht="15">
      <c r="C21" s="116"/>
      <c r="D21" s="116"/>
      <c r="E21" s="116"/>
    </row>
    <row r="22" spans="3:5" ht="15">
      <c r="C22" s="116"/>
      <c r="D22" s="116"/>
      <c r="E22" s="116"/>
    </row>
    <row r="23" spans="3:5" ht="15">
      <c r="C23" s="116"/>
      <c r="D23" s="116"/>
      <c r="E23" s="116"/>
    </row>
    <row r="24" spans="3:5" ht="15">
      <c r="C24" s="116"/>
      <c r="D24" s="116"/>
      <c r="E24" s="116"/>
    </row>
    <row r="25" spans="3:5" ht="15">
      <c r="C25" s="116"/>
      <c r="D25" s="116"/>
      <c r="E25" s="116"/>
    </row>
    <row r="26" spans="3:5" ht="15">
      <c r="C26" s="116"/>
      <c r="D26" s="116"/>
      <c r="E26" s="116"/>
    </row>
    <row r="27" spans="3:5" ht="15">
      <c r="C27" s="116"/>
      <c r="D27" s="116"/>
      <c r="E27" s="116"/>
    </row>
    <row r="28" spans="3:5" ht="15">
      <c r="C28" s="116"/>
      <c r="D28" s="116"/>
      <c r="E28" s="116"/>
    </row>
    <row r="29" spans="3:5" ht="15">
      <c r="C29" s="116"/>
      <c r="D29" s="116"/>
      <c r="E29" s="116"/>
    </row>
    <row r="30" spans="3:5" ht="15">
      <c r="C30" s="116"/>
      <c r="D30" s="116"/>
      <c r="E30" s="116"/>
    </row>
    <row r="31" spans="3:5" ht="15">
      <c r="C31" s="116"/>
      <c r="D31" s="116"/>
      <c r="E31" s="116"/>
    </row>
    <row r="32" spans="3:5" ht="15">
      <c r="C32" s="116"/>
      <c r="D32" s="116"/>
      <c r="E32" s="116"/>
    </row>
    <row r="33" spans="3:5" ht="15">
      <c r="C33" s="116"/>
      <c r="D33" s="116"/>
      <c r="E33" s="116"/>
    </row>
    <row r="34" spans="3:5" ht="15">
      <c r="C34" s="116"/>
      <c r="D34" s="116"/>
      <c r="E34" s="116"/>
    </row>
    <row r="35" spans="3:5" ht="15">
      <c r="C35" s="116"/>
      <c r="D35" s="116"/>
      <c r="E35" s="116"/>
    </row>
    <row r="36" spans="3:5" ht="15">
      <c r="C36" s="116"/>
      <c r="D36" s="116"/>
      <c r="E36" s="116"/>
    </row>
    <row r="37" spans="3:5" ht="15">
      <c r="C37" s="116"/>
      <c r="D37" s="116"/>
      <c r="E37" s="116"/>
    </row>
    <row r="38" spans="3:5" ht="15">
      <c r="C38" s="116"/>
      <c r="D38" s="116"/>
      <c r="E38" s="116"/>
    </row>
    <row r="39" spans="3:5" ht="15">
      <c r="C39" s="116"/>
      <c r="D39" s="116"/>
      <c r="E39" s="116"/>
    </row>
    <row r="40" spans="3:5" ht="15">
      <c r="C40" s="116"/>
      <c r="D40" s="116"/>
      <c r="E40" s="116"/>
    </row>
    <row r="41" spans="3:5" ht="15">
      <c r="C41" s="116"/>
      <c r="D41" s="116"/>
      <c r="E41" s="116"/>
    </row>
    <row r="42" spans="3:5" ht="15">
      <c r="C42" s="116"/>
      <c r="D42" s="116"/>
      <c r="E42" s="116"/>
    </row>
    <row r="43" spans="3:5" ht="15">
      <c r="C43" s="116"/>
      <c r="D43" s="116"/>
      <c r="E43" s="116"/>
    </row>
    <row r="44" spans="3:5" ht="15">
      <c r="C44" s="116"/>
      <c r="D44" s="116"/>
      <c r="E44" s="116"/>
    </row>
    <row r="45" spans="3:5" ht="15">
      <c r="C45" s="116"/>
      <c r="D45" s="116"/>
      <c r="E45" s="116"/>
    </row>
    <row r="46" spans="3:5" ht="15">
      <c r="C46" s="116"/>
      <c r="D46" s="116"/>
      <c r="E46" s="116"/>
    </row>
    <row r="47" spans="3:5" ht="15">
      <c r="C47" s="116"/>
      <c r="D47" s="116"/>
      <c r="E47" s="116"/>
    </row>
    <row r="48" spans="3:5" ht="15">
      <c r="C48" s="116"/>
      <c r="D48" s="116"/>
      <c r="E48" s="116"/>
    </row>
    <row r="49" spans="3:5" ht="15">
      <c r="C49" s="116"/>
      <c r="D49" s="116"/>
      <c r="E49" s="116"/>
    </row>
    <row r="50" spans="3:5" ht="15">
      <c r="C50" s="116"/>
      <c r="D50" s="116"/>
      <c r="E50" s="116"/>
    </row>
    <row r="51" spans="3:5" ht="15">
      <c r="C51" s="116"/>
      <c r="D51" s="116"/>
      <c r="E51" s="116"/>
    </row>
    <row r="52" spans="3:5" ht="15">
      <c r="C52" s="116"/>
      <c r="D52" s="116"/>
      <c r="E52" s="116"/>
    </row>
    <row r="53" spans="3:5" ht="15">
      <c r="C53" s="116"/>
      <c r="D53" s="116"/>
      <c r="E53" s="116"/>
    </row>
    <row r="54" spans="3:5" ht="15">
      <c r="C54" s="116"/>
      <c r="D54" s="116"/>
      <c r="E54" s="116"/>
    </row>
    <row r="55" spans="3:5" ht="15">
      <c r="C55" s="116"/>
      <c r="D55" s="116"/>
      <c r="E55" s="116"/>
    </row>
    <row r="56" spans="3:5" ht="15">
      <c r="C56" s="116"/>
      <c r="D56" s="116"/>
      <c r="E56" s="116"/>
    </row>
    <row r="57" spans="3:5" ht="15">
      <c r="C57" s="116"/>
      <c r="D57" s="116"/>
      <c r="E57" s="116"/>
    </row>
    <row r="58" spans="3:5" ht="15">
      <c r="C58" s="116"/>
      <c r="D58" s="116"/>
      <c r="E58" s="116"/>
    </row>
    <row r="59" spans="3:5" ht="15">
      <c r="C59" s="116"/>
      <c r="D59" s="116"/>
      <c r="E59" s="116"/>
    </row>
    <row r="60" spans="3:5" ht="15">
      <c r="C60" s="116"/>
      <c r="D60" s="116"/>
      <c r="E60" s="116"/>
    </row>
    <row r="61" spans="3:5" ht="15">
      <c r="C61" s="116"/>
      <c r="D61" s="116"/>
      <c r="E61" s="116"/>
    </row>
    <row r="62" spans="3:5" ht="15">
      <c r="C62" s="116"/>
      <c r="D62" s="116"/>
      <c r="E62" s="116"/>
    </row>
    <row r="63" spans="3:5" ht="15">
      <c r="C63" s="116"/>
      <c r="D63" s="116"/>
      <c r="E63" s="116"/>
    </row>
    <row r="64" spans="3:5" ht="15">
      <c r="C64" s="116"/>
      <c r="D64" s="116"/>
      <c r="E64" s="116"/>
    </row>
    <row r="65" spans="3:5" ht="15">
      <c r="C65" s="116"/>
      <c r="D65" s="116"/>
      <c r="E65" s="116"/>
    </row>
    <row r="66" spans="3:5" ht="15">
      <c r="C66" s="116"/>
      <c r="D66" s="116"/>
      <c r="E66" s="116"/>
    </row>
    <row r="67" spans="3:5" ht="15">
      <c r="C67" s="116"/>
      <c r="D67" s="116"/>
      <c r="E67" s="116"/>
    </row>
    <row r="68" spans="3:5" ht="15">
      <c r="C68" s="116"/>
      <c r="D68" s="116"/>
      <c r="E68" s="116"/>
    </row>
    <row r="69" spans="3:5" ht="15">
      <c r="C69" s="116"/>
      <c r="D69" s="116"/>
      <c r="E69" s="116"/>
    </row>
    <row r="70" spans="3:5" ht="15">
      <c r="C70" s="116"/>
      <c r="D70" s="116"/>
      <c r="E70" s="116"/>
    </row>
    <row r="71" spans="3:5" ht="15">
      <c r="C71" s="116"/>
      <c r="D71" s="116"/>
      <c r="E71" s="116"/>
    </row>
    <row r="72" spans="3:5" ht="15">
      <c r="C72" s="116"/>
      <c r="D72" s="116"/>
      <c r="E72" s="116"/>
    </row>
    <row r="73" spans="3:5" ht="15">
      <c r="C73" s="116"/>
      <c r="D73" s="116"/>
      <c r="E73" s="116"/>
    </row>
    <row r="74" spans="3:5" ht="15">
      <c r="C74" s="116"/>
      <c r="D74" s="116"/>
      <c r="E74" s="116"/>
    </row>
    <row r="75" spans="3:5" ht="15">
      <c r="C75" s="116"/>
      <c r="D75" s="116"/>
      <c r="E75" s="116"/>
    </row>
    <row r="76" spans="3:5" ht="15">
      <c r="C76" s="116"/>
      <c r="D76" s="116"/>
      <c r="E76" s="116"/>
    </row>
    <row r="77" spans="3:5" ht="15">
      <c r="C77" s="116"/>
      <c r="D77" s="116"/>
      <c r="E77" s="116"/>
    </row>
    <row r="78" spans="3:5" ht="15">
      <c r="C78" s="116"/>
      <c r="D78" s="116"/>
      <c r="E78" s="116"/>
    </row>
    <row r="79" spans="3:5" ht="15">
      <c r="C79" s="116"/>
      <c r="D79" s="116"/>
      <c r="E79" s="116"/>
    </row>
    <row r="80" spans="3:5" ht="15">
      <c r="C80" s="116"/>
      <c r="D80" s="116"/>
      <c r="E80" s="116"/>
    </row>
    <row r="81" spans="3:5" ht="15">
      <c r="C81" s="116"/>
      <c r="D81" s="116"/>
      <c r="E81" s="116"/>
    </row>
    <row r="82" spans="3:5" ht="15">
      <c r="C82" s="116"/>
      <c r="D82" s="116"/>
      <c r="E82" s="116"/>
    </row>
    <row r="83" spans="3:5" ht="15">
      <c r="C83" s="116"/>
      <c r="D83" s="116"/>
      <c r="E83" s="116"/>
    </row>
    <row r="84" spans="3:5" ht="15">
      <c r="C84" s="116"/>
      <c r="D84" s="116"/>
      <c r="E84" s="116"/>
    </row>
    <row r="85" spans="3:5" ht="15">
      <c r="C85" s="116"/>
      <c r="D85" s="116"/>
      <c r="E85" s="116"/>
    </row>
    <row r="86" spans="3:5" ht="15">
      <c r="C86" s="116"/>
      <c r="D86" s="116"/>
      <c r="E86" s="116"/>
    </row>
    <row r="87" spans="3:5" ht="15">
      <c r="C87" s="116"/>
      <c r="D87" s="116"/>
      <c r="E87" s="116"/>
    </row>
    <row r="88" spans="3:5" ht="15">
      <c r="C88" s="116"/>
      <c r="D88" s="116"/>
      <c r="E88" s="116"/>
    </row>
    <row r="89" spans="3:5" ht="15">
      <c r="C89" s="116"/>
      <c r="D89" s="116"/>
      <c r="E89" s="116"/>
    </row>
    <row r="90" spans="3:5" ht="15">
      <c r="C90" s="116"/>
      <c r="D90" s="116"/>
      <c r="E90" s="116"/>
    </row>
    <row r="91" spans="3:5" ht="15">
      <c r="C91" s="116"/>
      <c r="D91" s="116"/>
      <c r="E91" s="116"/>
    </row>
    <row r="92" spans="3:5" ht="15">
      <c r="C92" s="116"/>
      <c r="D92" s="116"/>
      <c r="E92" s="116"/>
    </row>
    <row r="93" spans="3:5" ht="15">
      <c r="C93" s="116"/>
      <c r="D93" s="116"/>
      <c r="E93" s="116"/>
    </row>
    <row r="94" spans="3:5" ht="15">
      <c r="C94" s="116"/>
      <c r="D94" s="116"/>
      <c r="E94" s="116"/>
    </row>
    <row r="95" spans="3:5" ht="15">
      <c r="C95" s="116"/>
      <c r="D95" s="116"/>
      <c r="E95" s="116"/>
    </row>
    <row r="96" spans="3:5" ht="15">
      <c r="C96" s="116"/>
      <c r="D96" s="116"/>
      <c r="E96" s="116"/>
    </row>
    <row r="97" spans="3:5" ht="15">
      <c r="C97" s="116"/>
      <c r="D97" s="116"/>
      <c r="E97" s="116"/>
    </row>
    <row r="98" spans="3:5" ht="15">
      <c r="C98" s="116"/>
      <c r="D98" s="116"/>
      <c r="E98" s="116"/>
    </row>
    <row r="99" spans="3:5" ht="15">
      <c r="C99" s="116"/>
      <c r="D99" s="116"/>
      <c r="E99" s="116"/>
    </row>
    <row r="100" spans="3:5" ht="15">
      <c r="C100" s="116"/>
      <c r="D100" s="116"/>
      <c r="E100" s="116"/>
    </row>
    <row r="101" spans="3:5" ht="15">
      <c r="C101" s="116"/>
      <c r="D101" s="116"/>
      <c r="E101" s="116"/>
    </row>
    <row r="102" spans="3:5" ht="15">
      <c r="C102" s="116"/>
      <c r="D102" s="116"/>
      <c r="E102" s="116"/>
    </row>
    <row r="103" spans="3:5" ht="15">
      <c r="C103" s="116"/>
      <c r="D103" s="116"/>
      <c r="E103" s="116"/>
    </row>
    <row r="104" spans="3:5" ht="15">
      <c r="C104" s="116"/>
      <c r="D104" s="116"/>
      <c r="E104" s="116"/>
    </row>
    <row r="105" spans="3:5" ht="15">
      <c r="C105" s="116"/>
      <c r="D105" s="116"/>
      <c r="E105" s="116"/>
    </row>
    <row r="106" spans="3:5" ht="15">
      <c r="C106" s="116"/>
      <c r="D106" s="116"/>
      <c r="E106" s="116"/>
    </row>
    <row r="107" spans="3:5" ht="15">
      <c r="C107" s="116"/>
      <c r="D107" s="116"/>
      <c r="E107" s="116"/>
    </row>
    <row r="108" spans="3:5" ht="15">
      <c r="C108" s="116"/>
      <c r="D108" s="116"/>
      <c r="E108" s="116"/>
    </row>
    <row r="109" spans="3:5" ht="15">
      <c r="C109" s="116"/>
      <c r="D109" s="116"/>
      <c r="E109" s="116"/>
    </row>
    <row r="110" spans="3:5" ht="15">
      <c r="C110" s="116"/>
      <c r="D110" s="116"/>
      <c r="E110" s="116"/>
    </row>
    <row r="111" spans="3:5" ht="15">
      <c r="C111" s="116"/>
      <c r="D111" s="116"/>
      <c r="E111" s="116"/>
    </row>
    <row r="112" spans="3:5" ht="15">
      <c r="C112" s="116"/>
      <c r="D112" s="116"/>
      <c r="E112" s="116"/>
    </row>
    <row r="113" spans="3:5" ht="15">
      <c r="C113" s="116"/>
      <c r="D113" s="116"/>
      <c r="E113" s="116"/>
    </row>
    <row r="114" spans="3:5" ht="15">
      <c r="C114" s="116"/>
      <c r="D114" s="116"/>
      <c r="E114" s="116"/>
    </row>
    <row r="115" spans="3:5" ht="15">
      <c r="C115" s="116"/>
      <c r="D115" s="116"/>
      <c r="E115" s="116"/>
    </row>
    <row r="116" spans="3:5" ht="15">
      <c r="C116" s="116"/>
      <c r="D116" s="116"/>
      <c r="E116" s="116"/>
    </row>
    <row r="117" spans="3:5" ht="15">
      <c r="C117" s="116"/>
      <c r="D117" s="116"/>
      <c r="E117" s="116"/>
    </row>
    <row r="118" spans="3:5" ht="15">
      <c r="C118" s="116"/>
      <c r="D118" s="116"/>
      <c r="E118" s="116"/>
    </row>
    <row r="119" spans="3:5" ht="15">
      <c r="C119" s="116"/>
      <c r="D119" s="116"/>
      <c r="E119" s="116"/>
    </row>
    <row r="120" spans="3:5" ht="15">
      <c r="C120" s="116"/>
      <c r="D120" s="116"/>
      <c r="E120" s="116"/>
    </row>
    <row r="121" spans="3:5" ht="15">
      <c r="C121" s="116"/>
      <c r="D121" s="116"/>
      <c r="E121" s="116"/>
    </row>
    <row r="122" spans="3:5" ht="15">
      <c r="C122" s="116"/>
      <c r="D122" s="116"/>
      <c r="E122" s="116"/>
    </row>
    <row r="123" spans="3:5" ht="15">
      <c r="C123" s="116"/>
      <c r="D123" s="116"/>
      <c r="E123" s="116"/>
    </row>
    <row r="124" spans="3:5" ht="15">
      <c r="C124" s="116"/>
      <c r="D124" s="116"/>
      <c r="E124" s="116"/>
    </row>
    <row r="125" spans="3:5" ht="15">
      <c r="C125" s="116"/>
      <c r="D125" s="116"/>
      <c r="E125" s="116"/>
    </row>
    <row r="126" spans="3:5" ht="15">
      <c r="C126" s="116"/>
      <c r="D126" s="116"/>
      <c r="E126" s="116"/>
    </row>
    <row r="127" spans="3:5" ht="15">
      <c r="C127" s="116"/>
      <c r="D127" s="116"/>
      <c r="E127" s="116"/>
    </row>
    <row r="128" spans="3:5" ht="15">
      <c r="C128" s="116"/>
      <c r="D128" s="116"/>
      <c r="E128" s="116"/>
    </row>
    <row r="129" spans="3:5" ht="15">
      <c r="C129" s="116"/>
      <c r="D129" s="116"/>
      <c r="E129" s="116"/>
    </row>
    <row r="130" spans="3:5" ht="15">
      <c r="C130" s="116"/>
      <c r="D130" s="116"/>
      <c r="E130" s="116"/>
    </row>
    <row r="131" spans="3:5" ht="15">
      <c r="C131" s="116"/>
      <c r="D131" s="116"/>
      <c r="E131" s="116"/>
    </row>
    <row r="132" spans="3:5" ht="15">
      <c r="C132" s="116"/>
      <c r="D132" s="116"/>
      <c r="E132" s="116"/>
    </row>
    <row r="133" spans="3:5" ht="15">
      <c r="C133" s="116"/>
      <c r="D133" s="116"/>
      <c r="E133" s="116"/>
    </row>
    <row r="134" spans="3:5" ht="15">
      <c r="C134" s="116"/>
      <c r="D134" s="116"/>
      <c r="E134" s="116"/>
    </row>
    <row r="135" spans="3:5" ht="15">
      <c r="C135" s="116"/>
      <c r="D135" s="116"/>
      <c r="E135" s="116"/>
    </row>
    <row r="136" spans="3:5" ht="15">
      <c r="C136" s="116"/>
      <c r="D136" s="116"/>
      <c r="E136" s="116"/>
    </row>
    <row r="137" spans="3:5" ht="15">
      <c r="C137" s="116"/>
      <c r="D137" s="116"/>
      <c r="E137" s="116"/>
    </row>
    <row r="138" spans="3:5" ht="15">
      <c r="C138" s="116"/>
      <c r="D138" s="116"/>
      <c r="E138" s="116"/>
    </row>
    <row r="139" spans="3:5" ht="15">
      <c r="C139" s="116"/>
      <c r="D139" s="116"/>
      <c r="E139" s="116"/>
    </row>
    <row r="140" spans="3:5" ht="15">
      <c r="C140" s="116"/>
      <c r="D140" s="116"/>
      <c r="E140" s="116"/>
    </row>
    <row r="141" spans="3:5" ht="15">
      <c r="C141" s="116"/>
      <c r="D141" s="116"/>
      <c r="E141" s="116"/>
    </row>
    <row r="142" spans="3:5" ht="15">
      <c r="C142" s="116"/>
      <c r="D142" s="116"/>
      <c r="E142" s="116"/>
    </row>
    <row r="143" spans="3:5" ht="15">
      <c r="C143" s="116"/>
      <c r="D143" s="116"/>
      <c r="E143" s="116"/>
    </row>
    <row r="144" spans="3:5" ht="15">
      <c r="C144" s="116"/>
      <c r="D144" s="116"/>
      <c r="E144" s="116"/>
    </row>
    <row r="145" spans="3:5" ht="15">
      <c r="C145" s="116"/>
      <c r="D145" s="116"/>
      <c r="E145" s="116"/>
    </row>
    <row r="146" spans="3:5" ht="15">
      <c r="C146" s="116"/>
      <c r="D146" s="116"/>
      <c r="E146" s="116"/>
    </row>
    <row r="147" spans="3:5" ht="15">
      <c r="C147" s="116"/>
      <c r="D147" s="116"/>
      <c r="E147" s="116"/>
    </row>
    <row r="148" spans="3:5" ht="15">
      <c r="C148" s="116"/>
      <c r="D148" s="116"/>
      <c r="E148" s="116"/>
    </row>
    <row r="149" spans="3:5" ht="15">
      <c r="C149" s="116"/>
      <c r="D149" s="116"/>
      <c r="E149" s="116"/>
    </row>
    <row r="150" spans="3:5" ht="15">
      <c r="C150" s="116"/>
      <c r="D150" s="116"/>
      <c r="E150" s="116"/>
    </row>
    <row r="151" spans="3:5" ht="15">
      <c r="C151" s="116"/>
      <c r="D151" s="116"/>
      <c r="E151" s="116"/>
    </row>
    <row r="152" spans="3:5" ht="15">
      <c r="C152" s="116"/>
      <c r="D152" s="116"/>
      <c r="E152" s="116"/>
    </row>
    <row r="153" spans="3:5" ht="15">
      <c r="C153" s="116"/>
      <c r="D153" s="116"/>
      <c r="E153" s="116"/>
    </row>
    <row r="154" spans="3:5" ht="15">
      <c r="C154" s="116"/>
      <c r="D154" s="116"/>
      <c r="E154" s="116"/>
    </row>
    <row r="155" spans="3:5" ht="15">
      <c r="C155" s="116"/>
      <c r="D155" s="116"/>
      <c r="E155" s="116"/>
    </row>
    <row r="156" spans="3:5" ht="15">
      <c r="C156" s="116"/>
      <c r="D156" s="116"/>
      <c r="E156" s="116"/>
    </row>
    <row r="157" spans="3:5" ht="15">
      <c r="C157" s="116"/>
      <c r="D157" s="116"/>
      <c r="E157" s="116"/>
    </row>
    <row r="158" spans="3:5" ht="15">
      <c r="C158" s="116"/>
      <c r="D158" s="116"/>
      <c r="E158" s="116"/>
    </row>
    <row r="159" spans="3:5" ht="15">
      <c r="C159" s="116"/>
      <c r="D159" s="116"/>
      <c r="E159" s="116"/>
    </row>
    <row r="160" spans="3:5" ht="15">
      <c r="C160" s="116"/>
      <c r="D160" s="116"/>
      <c r="E160" s="116"/>
    </row>
    <row r="161" spans="3:5" ht="15">
      <c r="C161" s="116"/>
      <c r="D161" s="116"/>
      <c r="E161" s="116"/>
    </row>
    <row r="162" spans="3:5" ht="15">
      <c r="C162" s="116"/>
      <c r="D162" s="116"/>
      <c r="E162" s="116"/>
    </row>
  </sheetData>
  <sheetProtection/>
  <mergeCells count="10">
    <mergeCell ref="A1:R1"/>
    <mergeCell ref="C15:D15"/>
    <mergeCell ref="C16:D16"/>
    <mergeCell ref="K3:M3"/>
    <mergeCell ref="N3:P3"/>
    <mergeCell ref="A2:E2"/>
    <mergeCell ref="C3:E3"/>
    <mergeCell ref="F3:F4"/>
    <mergeCell ref="G3:G4"/>
    <mergeCell ref="H3:J3"/>
  </mergeCells>
  <printOptions/>
  <pageMargins left="0.196850393700787" right="0.236220472440945" top="0.196850393700787" bottom="0.196850393700787" header="0.275590551181102" footer="0.511811023622047"/>
  <pageSetup horizontalDpi="600" verticalDpi="600" orientation="landscape" paperSize="9" r:id="rId1"/>
  <headerFooter differentFirst="1" alignWithMargins="0">
    <oddHeader>&amp;C&amp;P</oddHeader>
  </headerFooter>
</worksheet>
</file>

<file path=xl/worksheets/sheet8.xml><?xml version="1.0" encoding="utf-8"?>
<worksheet xmlns="http://schemas.openxmlformats.org/spreadsheetml/2006/main" xmlns:r="http://schemas.openxmlformats.org/officeDocument/2006/relationships">
  <dimension ref="A1:AK163"/>
  <sheetViews>
    <sheetView zoomScalePageLayoutView="0" workbookViewId="0" topLeftCell="A1">
      <pane xSplit="1" ySplit="2" topLeftCell="G3" activePane="bottomRight" state="frozen"/>
      <selection pane="topLeft" activeCell="A1" sqref="A1"/>
      <selection pane="topRight" activeCell="B1" sqref="B1"/>
      <selection pane="bottomLeft" activeCell="A8" sqref="A8"/>
      <selection pane="bottomRight" activeCell="AG20" sqref="AG20"/>
    </sheetView>
  </sheetViews>
  <sheetFormatPr defaultColWidth="9.00390625" defaultRowHeight="15.75"/>
  <cols>
    <col min="1" max="1" width="3.375" style="3" bestFit="1" customWidth="1"/>
    <col min="2" max="2" width="15.625" style="3" customWidth="1"/>
    <col min="3" max="3" width="7.125" style="3" customWidth="1"/>
    <col min="4" max="4" width="8.50390625" style="3" customWidth="1"/>
    <col min="5" max="6" width="8.75390625" style="3" customWidth="1"/>
    <col min="7" max="7" width="5.125" style="201" bestFit="1" customWidth="1"/>
    <col min="8" max="8" width="4.875" style="3" bestFit="1" customWidth="1"/>
    <col min="9" max="9" width="4.75390625" style="3" customWidth="1"/>
    <col min="10" max="10" width="5.125" style="116" bestFit="1" customWidth="1"/>
    <col min="11" max="11" width="6.875" style="116" bestFit="1" customWidth="1"/>
    <col min="12" max="12" width="5.375" style="117" customWidth="1"/>
    <col min="13" max="13" width="11.25390625" style="117" customWidth="1"/>
    <col min="14" max="14" width="5.50390625" style="219" customWidth="1"/>
    <col min="15" max="15" width="8.875" style="219" bestFit="1" customWidth="1"/>
    <col min="16" max="16" width="5.75390625" style="219" customWidth="1"/>
    <col min="17" max="17" width="6.375" style="228" bestFit="1" customWidth="1"/>
    <col min="18" max="19" width="4.875" style="3" bestFit="1" customWidth="1"/>
    <col min="20" max="20" width="7.50390625" style="418" customWidth="1"/>
    <col min="21" max="21" width="6.625" style="302" customWidth="1"/>
    <col min="22" max="22" width="6.625" style="423" bestFit="1" customWidth="1"/>
    <col min="23" max="23" width="5.125" style="3" bestFit="1" customWidth="1"/>
    <col min="24" max="24" width="6.875" style="3" bestFit="1" customWidth="1"/>
    <col min="25" max="25" width="4.875" style="3" bestFit="1" customWidth="1"/>
    <col min="26" max="26" width="5.125" style="3" bestFit="1" customWidth="1"/>
    <col min="27" max="28" width="4.875" style="3" bestFit="1" customWidth="1"/>
    <col min="29" max="29" width="5.75390625" style="3" customWidth="1"/>
    <col min="30" max="31" width="4.875" style="3" customWidth="1"/>
    <col min="32" max="32" width="6.375" style="101" customWidth="1"/>
    <col min="33" max="33" width="9.00390625" style="3" customWidth="1"/>
    <col min="34" max="34" width="6.50390625" style="3" customWidth="1"/>
    <col min="35" max="36" width="9.00390625" style="3" customWidth="1"/>
    <col min="37" max="37" width="17.25390625" style="3" customWidth="1"/>
    <col min="38" max="16384" width="9.00390625" style="3" customWidth="1"/>
  </cols>
  <sheetData>
    <row r="1" spans="1:25" ht="21" customHeight="1">
      <c r="A1" s="692" t="s">
        <v>310</v>
      </c>
      <c r="B1" s="692"/>
      <c r="C1" s="692"/>
      <c r="D1" s="692"/>
      <c r="E1" s="692"/>
      <c r="F1" s="692"/>
      <c r="G1" s="692"/>
      <c r="H1" s="692"/>
      <c r="I1" s="692"/>
      <c r="J1" s="692"/>
      <c r="K1" s="692"/>
      <c r="L1" s="692"/>
      <c r="M1" s="692"/>
      <c r="N1" s="692"/>
      <c r="O1" s="692"/>
      <c r="P1" s="692"/>
      <c r="Q1" s="692"/>
      <c r="R1" s="692"/>
      <c r="S1" s="692"/>
      <c r="T1" s="692"/>
      <c r="U1" s="692"/>
      <c r="V1" s="692"/>
      <c r="W1" s="692"/>
      <c r="X1" s="692"/>
      <c r="Y1" s="692"/>
    </row>
    <row r="2" spans="1:32" s="115" customFormat="1" ht="18">
      <c r="A2" s="737"/>
      <c r="B2" s="737"/>
      <c r="C2" s="737"/>
      <c r="D2" s="737"/>
      <c r="E2" s="737"/>
      <c r="F2" s="737"/>
      <c r="G2" s="737"/>
      <c r="H2" s="737"/>
      <c r="I2" s="737"/>
      <c r="J2" s="737"/>
      <c r="K2" s="737"/>
      <c r="L2" s="737"/>
      <c r="M2" s="737"/>
      <c r="N2" s="737"/>
      <c r="O2" s="737"/>
      <c r="P2" s="737"/>
      <c r="Q2" s="737"/>
      <c r="T2" s="416"/>
      <c r="U2" s="303"/>
      <c r="V2" s="419"/>
      <c r="AF2" s="306"/>
    </row>
    <row r="3" spans="1:37" s="72" customFormat="1" ht="35.25" customHeight="1">
      <c r="A3" s="132" t="s">
        <v>0</v>
      </c>
      <c r="B3" s="132" t="s">
        <v>193</v>
      </c>
      <c r="C3" s="751" t="s">
        <v>296</v>
      </c>
      <c r="D3" s="752"/>
      <c r="E3" s="752"/>
      <c r="F3" s="753"/>
      <c r="G3" s="771" t="s">
        <v>297</v>
      </c>
      <c r="H3" s="772"/>
      <c r="I3" s="772"/>
      <c r="J3" s="772"/>
      <c r="K3" s="772"/>
      <c r="L3" s="772"/>
      <c r="M3" s="773"/>
      <c r="N3" s="761" t="s">
        <v>298</v>
      </c>
      <c r="O3" s="762"/>
      <c r="P3" s="762"/>
      <c r="Q3" s="762"/>
      <c r="R3" s="762"/>
      <c r="S3" s="762"/>
      <c r="T3" s="763"/>
      <c r="U3" s="754" t="s">
        <v>302</v>
      </c>
      <c r="V3" s="774" t="s">
        <v>299</v>
      </c>
      <c r="W3" s="749" t="s">
        <v>300</v>
      </c>
      <c r="X3" s="750"/>
      <c r="Y3" s="750"/>
      <c r="Z3" s="749" t="s">
        <v>301</v>
      </c>
      <c r="AA3" s="750"/>
      <c r="AB3" s="750"/>
      <c r="AC3" s="751" t="s">
        <v>308</v>
      </c>
      <c r="AD3" s="758"/>
      <c r="AE3" s="758"/>
      <c r="AF3" s="307" t="s">
        <v>309</v>
      </c>
      <c r="AG3" s="132"/>
      <c r="AI3" s="72" t="s">
        <v>406</v>
      </c>
      <c r="AK3" s="72" t="s">
        <v>407</v>
      </c>
    </row>
    <row r="4" spans="1:33" s="311" customFormat="1" ht="12.75">
      <c r="A4" s="309"/>
      <c r="B4" s="309"/>
      <c r="C4" s="768" t="s">
        <v>281</v>
      </c>
      <c r="D4" s="768" t="s">
        <v>282</v>
      </c>
      <c r="E4" s="768" t="s">
        <v>283</v>
      </c>
      <c r="F4" s="769" t="s">
        <v>196</v>
      </c>
      <c r="G4" s="767" t="s">
        <v>284</v>
      </c>
      <c r="H4" s="767"/>
      <c r="I4" s="767"/>
      <c r="J4" s="777" t="s">
        <v>286</v>
      </c>
      <c r="K4" s="778"/>
      <c r="L4" s="779"/>
      <c r="M4" s="710" t="s">
        <v>196</v>
      </c>
      <c r="N4" s="767" t="s">
        <v>284</v>
      </c>
      <c r="O4" s="767"/>
      <c r="P4" s="767"/>
      <c r="Q4" s="768" t="s">
        <v>286</v>
      </c>
      <c r="R4" s="768"/>
      <c r="S4" s="768"/>
      <c r="T4" s="764" t="s">
        <v>304</v>
      </c>
      <c r="U4" s="765"/>
      <c r="V4" s="775"/>
      <c r="W4" s="309"/>
      <c r="X4" s="309"/>
      <c r="Y4" s="309"/>
      <c r="Z4" s="309"/>
      <c r="AA4" s="309"/>
      <c r="AB4" s="309"/>
      <c r="AC4" s="309"/>
      <c r="AD4" s="309"/>
      <c r="AE4" s="309"/>
      <c r="AF4" s="310"/>
      <c r="AG4" s="309" t="s">
        <v>140</v>
      </c>
    </row>
    <row r="5" spans="1:33" s="311" customFormat="1" ht="33" customHeight="1">
      <c r="A5" s="309"/>
      <c r="B5" s="309"/>
      <c r="C5" s="768"/>
      <c r="D5" s="768"/>
      <c r="E5" s="768"/>
      <c r="F5" s="770"/>
      <c r="G5" s="312" t="s">
        <v>292</v>
      </c>
      <c r="H5" s="313" t="s">
        <v>293</v>
      </c>
      <c r="I5" s="313" t="s">
        <v>294</v>
      </c>
      <c r="J5" s="312" t="s">
        <v>292</v>
      </c>
      <c r="K5" s="313" t="s">
        <v>293</v>
      </c>
      <c r="L5" s="313" t="s">
        <v>294</v>
      </c>
      <c r="M5" s="711"/>
      <c r="N5" s="312" t="s">
        <v>292</v>
      </c>
      <c r="O5" s="313" t="s">
        <v>293</v>
      </c>
      <c r="P5" s="313" t="s">
        <v>294</v>
      </c>
      <c r="Q5" s="312" t="s">
        <v>292</v>
      </c>
      <c r="R5" s="313" t="s">
        <v>293</v>
      </c>
      <c r="S5" s="313" t="s">
        <v>294</v>
      </c>
      <c r="T5" s="764"/>
      <c r="U5" s="755"/>
      <c r="V5" s="776"/>
      <c r="W5" s="312" t="s">
        <v>292</v>
      </c>
      <c r="X5" s="313" t="s">
        <v>293</v>
      </c>
      <c r="Y5" s="313" t="s">
        <v>294</v>
      </c>
      <c r="Z5" s="312" t="s">
        <v>292</v>
      </c>
      <c r="AA5" s="313" t="s">
        <v>293</v>
      </c>
      <c r="AB5" s="313" t="s">
        <v>294</v>
      </c>
      <c r="AC5" s="313" t="s">
        <v>306</v>
      </c>
      <c r="AD5" s="313" t="s">
        <v>307</v>
      </c>
      <c r="AE5" s="313" t="s">
        <v>294</v>
      </c>
      <c r="AF5" s="314"/>
      <c r="AG5" s="309"/>
    </row>
    <row r="6" spans="1:37" ht="15">
      <c r="A6" s="242"/>
      <c r="B6" s="242" t="s">
        <v>287</v>
      </c>
      <c r="C6" s="242">
        <v>36.8</v>
      </c>
      <c r="D6" s="242">
        <v>16</v>
      </c>
      <c r="E6" s="242">
        <f>+D6*C6</f>
        <v>588.8</v>
      </c>
      <c r="F6" s="326">
        <f>+E6*$N$17</f>
        <v>9747.58631139959</v>
      </c>
      <c r="G6" s="300"/>
      <c r="H6" s="242">
        <v>44</v>
      </c>
      <c r="I6" s="242">
        <f>+H6*G6</f>
        <v>0</v>
      </c>
      <c r="J6" s="254"/>
      <c r="K6" s="254">
        <v>8</v>
      </c>
      <c r="L6" s="252">
        <f>+K6*J6</f>
        <v>0</v>
      </c>
      <c r="M6" s="328">
        <f>+(I6+L6)*$N$17</f>
        <v>0</v>
      </c>
      <c r="N6" s="254"/>
      <c r="O6" s="254">
        <v>40</v>
      </c>
      <c r="P6" s="254">
        <f>+O6*N6</f>
        <v>0</v>
      </c>
      <c r="Q6" s="253"/>
      <c r="R6" s="254">
        <v>8</v>
      </c>
      <c r="S6" s="242">
        <f>+R6*Q6</f>
        <v>0</v>
      </c>
      <c r="T6" s="326">
        <f>+(P6+S6)*$N$17</f>
        <v>0</v>
      </c>
      <c r="U6" s="304">
        <f>+E6+I6+L6+P6+S6</f>
        <v>588.8</v>
      </c>
      <c r="V6" s="420">
        <f>+U6*$N$17</f>
        <v>9747.58631139959</v>
      </c>
      <c r="W6" s="254">
        <v>14</v>
      </c>
      <c r="X6" s="254">
        <v>100</v>
      </c>
      <c r="Y6" s="242">
        <f>+X6*W6</f>
        <v>1400</v>
      </c>
      <c r="Z6" s="254">
        <v>11</v>
      </c>
      <c r="AA6" s="254">
        <v>15</v>
      </c>
      <c r="AB6" s="242">
        <f>+AA6*Z6</f>
        <v>165</v>
      </c>
      <c r="AC6" s="242">
        <v>33.36</v>
      </c>
      <c r="AD6" s="242">
        <v>0.3</v>
      </c>
      <c r="AE6" s="242">
        <f>+AD6*AC6</f>
        <v>10.008</v>
      </c>
      <c r="AF6" s="308">
        <f>+AB6+Y6+AE6</f>
        <v>1575.008</v>
      </c>
      <c r="AG6" s="244">
        <f>+U6+AF6</f>
        <v>2163.808</v>
      </c>
      <c r="AI6" s="329">
        <f>'DA 4 b'!L7</f>
        <v>26499.49472387389</v>
      </c>
      <c r="AK6" s="424">
        <f aca="true" t="shared" si="0" ref="AK6:AK11">V6+AI6</f>
        <v>36247.08103527348</v>
      </c>
    </row>
    <row r="7" spans="1:37" ht="15">
      <c r="A7" s="242"/>
      <c r="B7" s="242" t="s">
        <v>288</v>
      </c>
      <c r="C7" s="242">
        <v>27.4</v>
      </c>
      <c r="D7" s="242">
        <v>16</v>
      </c>
      <c r="E7" s="242">
        <f>+D7*C7</f>
        <v>438.4</v>
      </c>
      <c r="F7" s="326">
        <f>+E7*$N$17</f>
        <v>7257.713720987737</v>
      </c>
      <c r="G7" s="300"/>
      <c r="H7" s="242"/>
      <c r="I7" s="242"/>
      <c r="J7" s="254"/>
      <c r="K7" s="254">
        <v>8</v>
      </c>
      <c r="L7" s="252">
        <f>+K7*J7</f>
        <v>0</v>
      </c>
      <c r="M7" s="328">
        <f>+(I7+L7)*$N$17</f>
        <v>0</v>
      </c>
      <c r="N7" s="254"/>
      <c r="O7" s="254"/>
      <c r="P7" s="254"/>
      <c r="Q7" s="253"/>
      <c r="R7" s="242">
        <v>8</v>
      </c>
      <c r="S7" s="242">
        <f>+R7*Q7</f>
        <v>0</v>
      </c>
      <c r="T7" s="326">
        <f>+(P7+S7)*$N$17</f>
        <v>0</v>
      </c>
      <c r="U7" s="304">
        <f>+E7+I7+L7+P7+S7</f>
        <v>438.4</v>
      </c>
      <c r="V7" s="420">
        <f>+U7*$N$17</f>
        <v>7257.713720987737</v>
      </c>
      <c r="W7" s="242">
        <v>9</v>
      </c>
      <c r="X7" s="254">
        <v>100</v>
      </c>
      <c r="Y7" s="242">
        <f>+X7*W7</f>
        <v>900</v>
      </c>
      <c r="Z7" s="242">
        <v>12</v>
      </c>
      <c r="AA7" s="254">
        <v>15</v>
      </c>
      <c r="AB7" s="242">
        <f>+AA7*Z7</f>
        <v>180</v>
      </c>
      <c r="AC7" s="242">
        <v>24.07</v>
      </c>
      <c r="AD7" s="242">
        <v>0.3</v>
      </c>
      <c r="AE7" s="242">
        <f>+AD7*AC7</f>
        <v>7.221</v>
      </c>
      <c r="AF7" s="308">
        <f>+AB7+Y7+AE7</f>
        <v>1087.221</v>
      </c>
      <c r="AG7" s="244">
        <f>+U7+AF7</f>
        <v>1525.621</v>
      </c>
      <c r="AI7" s="329">
        <f>'DA 4 b'!L25</f>
        <v>17836.925576611706</v>
      </c>
      <c r="AK7" s="424">
        <f t="shared" si="0"/>
        <v>25094.639297599442</v>
      </c>
    </row>
    <row r="8" spans="1:37" ht="15">
      <c r="A8" s="242"/>
      <c r="B8" s="242" t="s">
        <v>289</v>
      </c>
      <c r="C8" s="242">
        <v>5.1</v>
      </c>
      <c r="D8" s="242">
        <v>16</v>
      </c>
      <c r="E8" s="242">
        <f>+D8*C8</f>
        <v>81.6</v>
      </c>
      <c r="F8" s="326">
        <f>+E8*$N$17</f>
        <v>1350.8883203298344</v>
      </c>
      <c r="G8" s="300"/>
      <c r="H8" s="242"/>
      <c r="I8" s="242"/>
      <c r="J8" s="254"/>
      <c r="K8" s="254">
        <v>8</v>
      </c>
      <c r="L8" s="252">
        <f>+K8*J8</f>
        <v>0</v>
      </c>
      <c r="M8" s="328">
        <f>+(I8+L8)*$N$17</f>
        <v>0</v>
      </c>
      <c r="N8" s="254"/>
      <c r="O8" s="254"/>
      <c r="P8" s="254"/>
      <c r="Q8" s="253"/>
      <c r="R8" s="242">
        <v>8</v>
      </c>
      <c r="S8" s="242">
        <f>+R8*Q8</f>
        <v>0</v>
      </c>
      <c r="T8" s="326">
        <f>+(P8+S8)*$N$17</f>
        <v>0</v>
      </c>
      <c r="U8" s="304">
        <f>+E8+I8+L8+P8+S8</f>
        <v>81.6</v>
      </c>
      <c r="V8" s="420">
        <f>+U8*$N$17</f>
        <v>1350.8883203298344</v>
      </c>
      <c r="W8" s="242">
        <v>4</v>
      </c>
      <c r="X8" s="254">
        <v>100</v>
      </c>
      <c r="Y8" s="242">
        <f>+X8*W8</f>
        <v>400</v>
      </c>
      <c r="Z8" s="242">
        <v>14</v>
      </c>
      <c r="AA8" s="254">
        <v>15</v>
      </c>
      <c r="AB8" s="242">
        <f>+AA8*Z8</f>
        <v>210</v>
      </c>
      <c r="AC8" s="242">
        <v>17.63</v>
      </c>
      <c r="AD8" s="242">
        <v>0.3</v>
      </c>
      <c r="AE8" s="242">
        <f>+AD8*AC8</f>
        <v>5.289</v>
      </c>
      <c r="AF8" s="308">
        <f>+AB8+Y8+AE8</f>
        <v>615.289</v>
      </c>
      <c r="AG8" s="244">
        <f>+U8+AF8</f>
        <v>696.889</v>
      </c>
      <c r="AI8" s="329">
        <f>'DA 4 b'!L41</f>
        <v>10043.152574247519</v>
      </c>
      <c r="AK8" s="424">
        <f t="shared" si="0"/>
        <v>11394.040894577352</v>
      </c>
    </row>
    <row r="9" spans="1:37" ht="15">
      <c r="A9" s="242"/>
      <c r="B9" s="242" t="s">
        <v>290</v>
      </c>
      <c r="C9" s="242">
        <v>2.7</v>
      </c>
      <c r="D9" s="242">
        <v>16</v>
      </c>
      <c r="E9" s="242">
        <f>+D9*C9</f>
        <v>43.2</v>
      </c>
      <c r="F9" s="326">
        <f>+E9*$N$17</f>
        <v>715.176169586383</v>
      </c>
      <c r="G9" s="300"/>
      <c r="H9" s="242"/>
      <c r="I9" s="242"/>
      <c r="J9" s="254"/>
      <c r="K9" s="254">
        <v>8</v>
      </c>
      <c r="L9" s="252">
        <f>+K9*J9</f>
        <v>0</v>
      </c>
      <c r="M9" s="328">
        <f>+(I9+L9)*$N$17</f>
        <v>0</v>
      </c>
      <c r="N9" s="254"/>
      <c r="O9" s="254"/>
      <c r="P9" s="254"/>
      <c r="Q9" s="253"/>
      <c r="R9" s="242"/>
      <c r="S9" s="242">
        <f>+R9*Q9</f>
        <v>0</v>
      </c>
      <c r="T9" s="326">
        <f>+(P9+S9)*$N$17</f>
        <v>0</v>
      </c>
      <c r="U9" s="304">
        <f>+E9+I9+L9+P9+S9</f>
        <v>43.2</v>
      </c>
      <c r="V9" s="420">
        <f>+U9*$N$17</f>
        <v>715.176169586383</v>
      </c>
      <c r="W9" s="242">
        <v>1</v>
      </c>
      <c r="X9" s="254">
        <v>100</v>
      </c>
      <c r="Y9" s="242">
        <f>+X9*W9</f>
        <v>100</v>
      </c>
      <c r="Z9" s="242">
        <v>16</v>
      </c>
      <c r="AA9" s="254">
        <v>15</v>
      </c>
      <c r="AB9" s="242">
        <f>+AA9*Z9</f>
        <v>240</v>
      </c>
      <c r="AC9" s="242">
        <v>16.1</v>
      </c>
      <c r="AD9" s="242">
        <v>0.3</v>
      </c>
      <c r="AE9" s="242">
        <f>+AD9*AC9</f>
        <v>4.83</v>
      </c>
      <c r="AF9" s="308">
        <f>+AB9+Y9+AE9</f>
        <v>344.83</v>
      </c>
      <c r="AG9" s="244">
        <f>+U9+AF9</f>
        <v>388.03</v>
      </c>
      <c r="AI9" s="329">
        <f>'DA 4 b'!L50</f>
        <v>5602.421181389709</v>
      </c>
      <c r="AK9" s="424">
        <f t="shared" si="0"/>
        <v>6317.5973509760925</v>
      </c>
    </row>
    <row r="10" spans="1:37" ht="15">
      <c r="A10" s="242"/>
      <c r="B10" s="301" t="s">
        <v>295</v>
      </c>
      <c r="C10" s="242"/>
      <c r="D10" s="242"/>
      <c r="E10" s="242"/>
      <c r="F10" s="326">
        <f>+E10*$N$17</f>
        <v>0</v>
      </c>
      <c r="G10" s="300"/>
      <c r="H10" s="242"/>
      <c r="I10" s="242"/>
      <c r="J10" s="254"/>
      <c r="K10" s="254"/>
      <c r="L10" s="252"/>
      <c r="M10" s="328">
        <f>+(I10+L10)*$N$17</f>
        <v>0</v>
      </c>
      <c r="N10" s="254"/>
      <c r="O10" s="254"/>
      <c r="P10" s="254"/>
      <c r="Q10" s="253"/>
      <c r="R10" s="242"/>
      <c r="S10" s="242">
        <f>+R10*Q10</f>
        <v>0</v>
      </c>
      <c r="T10" s="326">
        <f>+(P10+S10)*$N$17</f>
        <v>0</v>
      </c>
      <c r="U10" s="304">
        <f>+E10+I10+L10+P10+S10</f>
        <v>0</v>
      </c>
      <c r="V10" s="420">
        <f>+U10*$N$17</f>
        <v>0</v>
      </c>
      <c r="W10" s="242"/>
      <c r="X10" s="254">
        <v>100</v>
      </c>
      <c r="Y10" s="242">
        <f>+X10*W10</f>
        <v>0</v>
      </c>
      <c r="Z10" s="242">
        <v>2</v>
      </c>
      <c r="AA10" s="254">
        <v>15</v>
      </c>
      <c r="AB10" s="242">
        <f>+AA10*Z10</f>
        <v>30</v>
      </c>
      <c r="AC10" s="242"/>
      <c r="AD10" s="242">
        <v>0.3</v>
      </c>
      <c r="AE10" s="242">
        <f>+AD10*AC10</f>
        <v>0</v>
      </c>
      <c r="AF10" s="308">
        <f>+AB10+Y10+AE10</f>
        <v>30</v>
      </c>
      <c r="AG10" s="244">
        <f>+U10+AF10</f>
        <v>30</v>
      </c>
      <c r="AI10" s="329">
        <f>'DA 4 b'!L5</f>
        <v>482.64142157362494</v>
      </c>
      <c r="AK10" s="424">
        <f t="shared" si="0"/>
        <v>482.64142157362494</v>
      </c>
    </row>
    <row r="11" spans="1:37" s="72" customFormat="1" ht="15">
      <c r="A11" s="132"/>
      <c r="B11" s="132" t="s">
        <v>206</v>
      </c>
      <c r="C11" s="132">
        <f>SUM(C6:C10)</f>
        <v>71.99999999999999</v>
      </c>
      <c r="D11" s="132">
        <f aca="true" t="shared" si="1" ref="D11:AG11">SUM(D6:D10)</f>
        <v>64</v>
      </c>
      <c r="E11" s="132">
        <f t="shared" si="1"/>
        <v>1151.9999999999998</v>
      </c>
      <c r="F11" s="327">
        <f t="shared" si="1"/>
        <v>19071.364522303546</v>
      </c>
      <c r="G11" s="132">
        <f t="shared" si="1"/>
        <v>0</v>
      </c>
      <c r="H11" s="132"/>
      <c r="I11" s="132">
        <f t="shared" si="1"/>
        <v>0</v>
      </c>
      <c r="J11" s="132">
        <f t="shared" si="1"/>
        <v>0</v>
      </c>
      <c r="K11" s="132"/>
      <c r="L11" s="255">
        <f t="shared" si="1"/>
        <v>0</v>
      </c>
      <c r="M11" s="327">
        <f>SUM(M6:M10)</f>
        <v>0</v>
      </c>
      <c r="N11" s="132">
        <f t="shared" si="1"/>
        <v>0</v>
      </c>
      <c r="O11" s="132"/>
      <c r="P11" s="132">
        <f t="shared" si="1"/>
        <v>0</v>
      </c>
      <c r="Q11" s="132">
        <f t="shared" si="1"/>
        <v>0</v>
      </c>
      <c r="R11" s="132"/>
      <c r="S11" s="132">
        <f t="shared" si="1"/>
        <v>0</v>
      </c>
      <c r="T11" s="417">
        <f t="shared" si="1"/>
        <v>0</v>
      </c>
      <c r="U11" s="305">
        <f t="shared" si="1"/>
        <v>1151.9999999999998</v>
      </c>
      <c r="V11" s="421">
        <f t="shared" si="1"/>
        <v>19071.364522303546</v>
      </c>
      <c r="W11" s="132">
        <f t="shared" si="1"/>
        <v>28</v>
      </c>
      <c r="X11" s="132"/>
      <c r="Y11" s="132">
        <f t="shared" si="1"/>
        <v>2800</v>
      </c>
      <c r="Z11" s="132">
        <f t="shared" si="1"/>
        <v>55</v>
      </c>
      <c r="AA11" s="132"/>
      <c r="AB11" s="132">
        <f t="shared" si="1"/>
        <v>825</v>
      </c>
      <c r="AC11" s="132">
        <f t="shared" si="1"/>
        <v>91.16</v>
      </c>
      <c r="AD11" s="132"/>
      <c r="AE11" s="132">
        <f t="shared" si="1"/>
        <v>27.348</v>
      </c>
      <c r="AF11" s="132">
        <f t="shared" si="1"/>
        <v>3652.348</v>
      </c>
      <c r="AG11" s="132">
        <f t="shared" si="1"/>
        <v>4804.348</v>
      </c>
      <c r="AH11" s="72">
        <f>SUM(AH6:AH9)</f>
        <v>0</v>
      </c>
      <c r="AI11" s="291">
        <f>SUM(AI6:AI10)</f>
        <v>60464.63547769645</v>
      </c>
      <c r="AK11" s="424">
        <f t="shared" si="0"/>
        <v>79536</v>
      </c>
    </row>
    <row r="12" spans="2:33" s="315" customFormat="1" ht="12.75">
      <c r="B12" s="316" t="s">
        <v>217</v>
      </c>
      <c r="E12" s="315">
        <f>+E11*$N$17</f>
        <v>19071.364522303542</v>
      </c>
      <c r="I12" s="315">
        <f>+I11*$N$17</f>
        <v>0</v>
      </c>
      <c r="J12" s="317"/>
      <c r="L12" s="318">
        <f>+L11*N17</f>
        <v>0</v>
      </c>
      <c r="M12" s="318"/>
      <c r="N12" s="317"/>
      <c r="O12" s="317"/>
      <c r="P12" s="315">
        <f>+P11*N17</f>
        <v>0</v>
      </c>
      <c r="Q12" s="319"/>
      <c r="S12" s="315">
        <f>+S11*N17</f>
        <v>0</v>
      </c>
      <c r="U12" s="315">
        <f>+U11*$N$17</f>
        <v>19071.364522303542</v>
      </c>
      <c r="V12" s="422"/>
      <c r="AF12" s="315">
        <f>+AF11*$N$17</f>
        <v>60464.63547769645</v>
      </c>
      <c r="AG12" s="315">
        <f>+AG11*$N$17</f>
        <v>79535.99999999999</v>
      </c>
    </row>
    <row r="13" spans="2:33" s="315" customFormat="1" ht="12.75">
      <c r="B13" s="320"/>
      <c r="I13" s="323"/>
      <c r="J13" s="323"/>
      <c r="K13" s="323">
        <f>+I12+L12</f>
        <v>0</v>
      </c>
      <c r="L13" s="318"/>
      <c r="M13" s="318"/>
      <c r="N13" s="317"/>
      <c r="O13" s="317"/>
      <c r="P13" s="323">
        <f>+P12+S12</f>
        <v>0</v>
      </c>
      <c r="Q13" s="323"/>
      <c r="R13" s="323"/>
      <c r="S13" s="323"/>
      <c r="T13" s="323"/>
      <c r="U13" s="315">
        <f>+P13+I13+E12</f>
        <v>19071.364522303542</v>
      </c>
      <c r="V13" s="422"/>
      <c r="AG13" s="315">
        <f>+AF12+U12</f>
        <v>79536</v>
      </c>
    </row>
    <row r="14" spans="2:22" s="315" customFormat="1" ht="12.75">
      <c r="B14" s="320"/>
      <c r="J14" s="317"/>
      <c r="L14" s="318"/>
      <c r="M14" s="318"/>
      <c r="N14" s="317"/>
      <c r="O14" s="317"/>
      <c r="Q14" s="319"/>
      <c r="V14" s="422"/>
    </row>
    <row r="15" spans="11:35" ht="15">
      <c r="K15" s="759" t="s">
        <v>303</v>
      </c>
      <c r="L15" s="766"/>
      <c r="M15" s="116"/>
      <c r="N15" s="116"/>
      <c r="O15" s="116"/>
      <c r="P15" s="116"/>
      <c r="Q15" s="249"/>
      <c r="AI15" s="329"/>
    </row>
    <row r="16" spans="11:17" ht="15">
      <c r="K16" s="759" t="s">
        <v>304</v>
      </c>
      <c r="L16" s="759"/>
      <c r="M16" s="286"/>
      <c r="N16" s="747" t="s">
        <v>305</v>
      </c>
      <c r="O16" s="747"/>
      <c r="P16" s="116"/>
      <c r="Q16" s="249"/>
    </row>
    <row r="17" spans="2:29" ht="15">
      <c r="B17" s="150">
        <f>72*0.18</f>
        <v>12.959999999999999</v>
      </c>
      <c r="I17" s="150" t="s">
        <v>141</v>
      </c>
      <c r="K17" s="760">
        <f>85621-6085</f>
        <v>79536</v>
      </c>
      <c r="L17" s="760"/>
      <c r="M17" s="116"/>
      <c r="N17" s="748">
        <f>+K17/AG11</f>
        <v>16.555003925610716</v>
      </c>
      <c r="O17" s="748"/>
      <c r="P17" s="116"/>
      <c r="Q17" s="249"/>
      <c r="AC17" s="3">
        <v>9270</v>
      </c>
    </row>
    <row r="18" spans="14:35" ht="15">
      <c r="N18" s="116"/>
      <c r="O18" s="116"/>
      <c r="P18" s="116"/>
      <c r="Q18" s="249"/>
      <c r="AC18" s="3">
        <v>6000</v>
      </c>
      <c r="AI18" s="329">
        <f>AI11+AI15</f>
        <v>60464.63547769645</v>
      </c>
    </row>
    <row r="19" spans="4:29" ht="15">
      <c r="D19" s="406" t="s">
        <v>602</v>
      </c>
      <c r="E19" s="89">
        <f>5*761</f>
        <v>3805</v>
      </c>
      <c r="N19" s="116"/>
      <c r="O19" s="116"/>
      <c r="P19" s="116"/>
      <c r="Q19" s="493"/>
      <c r="T19" s="418">
        <v>28</v>
      </c>
      <c r="U19" s="302">
        <v>2000</v>
      </c>
      <c r="V19" s="423">
        <f>T19*U19</f>
        <v>56000</v>
      </c>
      <c r="X19" s="3">
        <f>V19*5</f>
        <v>280000</v>
      </c>
      <c r="AC19" s="3">
        <f>1628+1456+717</f>
        <v>3801</v>
      </c>
    </row>
    <row r="20" spans="2:35" ht="15">
      <c r="B20" s="3">
        <f>K17/475666</f>
        <v>0.16720976483498926</v>
      </c>
      <c r="D20" s="406" t="s">
        <v>603</v>
      </c>
      <c r="E20" s="406">
        <f>3*760</f>
        <v>2280</v>
      </c>
      <c r="N20" s="116"/>
      <c r="O20" s="116"/>
      <c r="P20" s="116"/>
      <c r="Q20" s="249"/>
      <c r="T20" s="418">
        <v>55</v>
      </c>
      <c r="U20" s="302">
        <v>300</v>
      </c>
      <c r="V20" s="423">
        <f>T20*U20</f>
        <v>16500</v>
      </c>
      <c r="X20" s="3">
        <f>V20*5</f>
        <v>82500</v>
      </c>
      <c r="AC20" s="3">
        <f>SUM(AC17:AC19)</f>
        <v>19071</v>
      </c>
      <c r="AG20" s="329">
        <f>AF12+E21</f>
        <v>66549.63547769646</v>
      </c>
      <c r="AI20" s="329">
        <f>SUM(AI18:AI19)</f>
        <v>60464.63547769645</v>
      </c>
    </row>
    <row r="21" spans="4:24" ht="15">
      <c r="D21" s="89"/>
      <c r="E21" s="89">
        <f>SUM(E19:E20)</f>
        <v>6085</v>
      </c>
      <c r="N21" s="116"/>
      <c r="O21" s="116"/>
      <c r="P21" s="116"/>
      <c r="Q21" s="249"/>
      <c r="V21" s="423">
        <f>SUM(V19:V20)</f>
        <v>72500</v>
      </c>
      <c r="X21" s="3">
        <f>SUM(X19:X20)</f>
        <v>362500</v>
      </c>
    </row>
    <row r="22" spans="11:17" ht="15">
      <c r="K22" s="409">
        <v>85621</v>
      </c>
      <c r="N22" s="116"/>
      <c r="O22" s="116"/>
      <c r="P22" s="116"/>
      <c r="Q22" s="249"/>
    </row>
    <row r="23" spans="6:17" ht="15">
      <c r="F23" s="150" t="s">
        <v>398</v>
      </c>
      <c r="H23" s="3">
        <v>72</v>
      </c>
      <c r="M23" s="410">
        <f>E11*N17</f>
        <v>19071.364522303542</v>
      </c>
      <c r="N23" s="116"/>
      <c r="O23" s="116">
        <v>-6</v>
      </c>
      <c r="P23" s="116"/>
      <c r="Q23" s="249"/>
    </row>
    <row r="24" spans="6:17" ht="15">
      <c r="F24" s="150" t="s">
        <v>399</v>
      </c>
      <c r="H24" s="3">
        <v>8</v>
      </c>
      <c r="M24" s="117">
        <f>S6*N17</f>
        <v>0</v>
      </c>
      <c r="N24" s="116"/>
      <c r="O24" s="116">
        <v>-4</v>
      </c>
      <c r="P24" s="116"/>
      <c r="Q24" s="249"/>
    </row>
    <row r="25" spans="6:17" ht="15">
      <c r="F25" s="150" t="s">
        <v>400</v>
      </c>
      <c r="K25" s="116">
        <f>I6*N17</f>
        <v>0</v>
      </c>
      <c r="M25" s="117">
        <f>136*N17</f>
        <v>2251.4805338830574</v>
      </c>
      <c r="N25" s="116"/>
      <c r="O25" s="116">
        <v>0.9</v>
      </c>
      <c r="P25" s="116"/>
      <c r="Q25" s="249"/>
    </row>
    <row r="26" spans="13:17" ht="15">
      <c r="M26" s="117">
        <f>AF11*N17</f>
        <v>60464.63547769645</v>
      </c>
      <c r="N26" s="116"/>
      <c r="O26" s="288">
        <v>-15.6</v>
      </c>
      <c r="P26" s="116"/>
      <c r="Q26" s="249"/>
    </row>
    <row r="27" spans="2:20" ht="15">
      <c r="B27" s="3">
        <f>K22-E21</f>
        <v>79536</v>
      </c>
      <c r="K27" s="116">
        <f>Y11*N17</f>
        <v>46354.010991710005</v>
      </c>
      <c r="N27" s="116"/>
      <c r="O27" s="116"/>
      <c r="P27" s="116"/>
      <c r="Q27" s="249"/>
      <c r="T27" s="418">
        <f>M23/72</f>
        <v>264.8800628097714</v>
      </c>
    </row>
    <row r="28" spans="2:17" ht="15">
      <c r="B28" s="329">
        <f>B27-F11</f>
        <v>60464.63547769646</v>
      </c>
      <c r="K28" s="116">
        <f>AB11*N17</f>
        <v>13657.87823862884</v>
      </c>
      <c r="M28" s="117">
        <f>SUM(M23:M27)</f>
        <v>81787.48053388305</v>
      </c>
      <c r="N28" s="116"/>
      <c r="O28" s="116"/>
      <c r="P28" s="116"/>
      <c r="Q28" s="249"/>
    </row>
    <row r="29" spans="6:17" ht="15">
      <c r="F29" s="329">
        <f>F11+E21</f>
        <v>25156.364522303546</v>
      </c>
      <c r="K29" s="116">
        <f>SUM(K27:K28)</f>
        <v>60011.88923033884</v>
      </c>
      <c r="N29" s="116"/>
      <c r="O29" s="116"/>
      <c r="P29" s="116"/>
      <c r="Q29" s="249"/>
    </row>
    <row r="30" spans="14:17" ht="15">
      <c r="N30" s="116"/>
      <c r="O30" s="116"/>
      <c r="P30" s="116"/>
      <c r="Q30" s="249"/>
    </row>
    <row r="31" spans="14:17" ht="15">
      <c r="N31" s="116"/>
      <c r="O31" s="116"/>
      <c r="P31" s="116"/>
      <c r="Q31" s="249"/>
    </row>
    <row r="32" spans="6:17" ht="15">
      <c r="F32" s="3">
        <v>9271</v>
      </c>
      <c r="N32" s="116"/>
      <c r="O32" s="116"/>
      <c r="P32" s="116"/>
      <c r="Q32" s="249"/>
    </row>
    <row r="33" spans="6:17" ht="15">
      <c r="F33" s="3">
        <v>5000</v>
      </c>
      <c r="N33" s="116"/>
      <c r="O33" s="116"/>
      <c r="P33" s="116"/>
      <c r="Q33" s="249"/>
    </row>
    <row r="34" spans="6:17" ht="15">
      <c r="F34" s="3">
        <v>4800</v>
      </c>
      <c r="N34" s="116"/>
      <c r="O34" s="116"/>
      <c r="P34" s="116"/>
      <c r="Q34" s="249"/>
    </row>
    <row r="35" spans="6:17" ht="15">
      <c r="F35" s="3">
        <f>SUM(F32:F34)</f>
        <v>19071</v>
      </c>
      <c r="N35" s="116"/>
      <c r="O35" s="116"/>
      <c r="P35" s="116"/>
      <c r="Q35" s="249"/>
    </row>
    <row r="36" spans="14:17" ht="15">
      <c r="N36" s="116"/>
      <c r="O36" s="116"/>
      <c r="P36" s="116"/>
      <c r="Q36" s="249"/>
    </row>
    <row r="37" spans="14:17" ht="15">
      <c r="N37" s="116"/>
      <c r="O37" s="116"/>
      <c r="P37" s="116"/>
      <c r="Q37" s="249"/>
    </row>
    <row r="38" spans="14:17" ht="15">
      <c r="N38" s="116"/>
      <c r="O38" s="116"/>
      <c r="P38" s="116"/>
      <c r="Q38" s="249"/>
    </row>
    <row r="39" spans="14:17" ht="15">
      <c r="N39" s="116"/>
      <c r="O39" s="116"/>
      <c r="P39" s="116"/>
      <c r="Q39" s="249"/>
    </row>
    <row r="40" spans="14:17" ht="15">
      <c r="N40" s="116"/>
      <c r="O40" s="116"/>
      <c r="P40" s="116"/>
      <c r="Q40" s="249"/>
    </row>
    <row r="41" spans="14:17" ht="15">
      <c r="N41" s="116"/>
      <c r="O41" s="116"/>
      <c r="P41" s="116"/>
      <c r="Q41" s="249"/>
    </row>
    <row r="42" spans="14:17" ht="15">
      <c r="N42" s="116"/>
      <c r="O42" s="116"/>
      <c r="P42" s="116"/>
      <c r="Q42" s="249"/>
    </row>
    <row r="43" spans="14:17" ht="15">
      <c r="N43" s="116"/>
      <c r="O43" s="116"/>
      <c r="P43" s="116"/>
      <c r="Q43" s="249"/>
    </row>
    <row r="44" spans="14:17" ht="15">
      <c r="N44" s="116"/>
      <c r="O44" s="116"/>
      <c r="P44" s="116"/>
      <c r="Q44" s="249"/>
    </row>
    <row r="45" spans="14:17" ht="15">
      <c r="N45" s="116"/>
      <c r="O45" s="116"/>
      <c r="P45" s="116"/>
      <c r="Q45" s="249"/>
    </row>
    <row r="46" spans="14:17" ht="15">
      <c r="N46" s="116"/>
      <c r="O46" s="116"/>
      <c r="P46" s="116"/>
      <c r="Q46" s="249"/>
    </row>
    <row r="47" spans="14:17" ht="15">
      <c r="N47" s="116"/>
      <c r="O47" s="116"/>
      <c r="P47" s="116"/>
      <c r="Q47" s="249"/>
    </row>
    <row r="48" spans="14:17" ht="15">
      <c r="N48" s="116"/>
      <c r="O48" s="116"/>
      <c r="P48" s="116"/>
      <c r="Q48" s="249"/>
    </row>
    <row r="49" spans="14:17" ht="15">
      <c r="N49" s="116"/>
      <c r="O49" s="116"/>
      <c r="P49" s="116"/>
      <c r="Q49" s="249"/>
    </row>
    <row r="50" spans="14:17" ht="15">
      <c r="N50" s="116"/>
      <c r="O50" s="116"/>
      <c r="P50" s="116"/>
      <c r="Q50" s="249"/>
    </row>
    <row r="51" spans="14:17" ht="15">
      <c r="N51" s="116"/>
      <c r="O51" s="116"/>
      <c r="P51" s="116"/>
      <c r="Q51" s="249"/>
    </row>
    <row r="52" spans="14:17" ht="15">
      <c r="N52" s="116"/>
      <c r="O52" s="116"/>
      <c r="P52" s="116"/>
      <c r="Q52" s="249"/>
    </row>
    <row r="53" spans="14:17" ht="15">
      <c r="N53" s="116"/>
      <c r="O53" s="116"/>
      <c r="P53" s="116"/>
      <c r="Q53" s="249"/>
    </row>
    <row r="54" spans="14:17" ht="15">
      <c r="N54" s="116"/>
      <c r="O54" s="116"/>
      <c r="P54" s="116"/>
      <c r="Q54" s="249"/>
    </row>
    <row r="55" spans="14:17" ht="15">
      <c r="N55" s="116"/>
      <c r="O55" s="116"/>
      <c r="P55" s="116"/>
      <c r="Q55" s="249"/>
    </row>
    <row r="56" spans="14:17" ht="15">
      <c r="N56" s="116"/>
      <c r="O56" s="116"/>
      <c r="P56" s="116"/>
      <c r="Q56" s="249"/>
    </row>
    <row r="57" spans="14:17" ht="15">
      <c r="N57" s="116"/>
      <c r="O57" s="116"/>
      <c r="P57" s="116"/>
      <c r="Q57" s="249"/>
    </row>
    <row r="58" spans="14:17" ht="15">
      <c r="N58" s="116"/>
      <c r="O58" s="116"/>
      <c r="P58" s="116"/>
      <c r="Q58" s="249"/>
    </row>
    <row r="59" spans="14:17" ht="15">
      <c r="N59" s="116"/>
      <c r="O59" s="116"/>
      <c r="P59" s="116"/>
      <c r="Q59" s="249"/>
    </row>
    <row r="60" spans="14:17" ht="15">
      <c r="N60" s="116"/>
      <c r="O60" s="116"/>
      <c r="P60" s="116"/>
      <c r="Q60" s="249"/>
    </row>
    <row r="61" spans="14:17" ht="15">
      <c r="N61" s="116"/>
      <c r="O61" s="116"/>
      <c r="P61" s="116"/>
      <c r="Q61" s="249"/>
    </row>
    <row r="62" spans="14:17" ht="15">
      <c r="N62" s="116"/>
      <c r="O62" s="116"/>
      <c r="P62" s="116"/>
      <c r="Q62" s="249"/>
    </row>
    <row r="63" spans="14:17" ht="15">
      <c r="N63" s="116"/>
      <c r="O63" s="116"/>
      <c r="P63" s="116"/>
      <c r="Q63" s="249"/>
    </row>
    <row r="64" spans="14:17" ht="15">
      <c r="N64" s="116"/>
      <c r="O64" s="116"/>
      <c r="P64" s="116"/>
      <c r="Q64" s="249"/>
    </row>
    <row r="65" spans="14:17" ht="15">
      <c r="N65" s="116"/>
      <c r="O65" s="116"/>
      <c r="P65" s="116"/>
      <c r="Q65" s="249"/>
    </row>
    <row r="66" spans="14:17" ht="15">
      <c r="N66" s="116"/>
      <c r="O66" s="116"/>
      <c r="P66" s="116"/>
      <c r="Q66" s="249"/>
    </row>
    <row r="67" spans="14:17" ht="15">
      <c r="N67" s="116"/>
      <c r="O67" s="116"/>
      <c r="P67" s="116"/>
      <c r="Q67" s="249"/>
    </row>
    <row r="68" spans="14:17" ht="15">
      <c r="N68" s="116"/>
      <c r="O68" s="116"/>
      <c r="P68" s="116"/>
      <c r="Q68" s="249"/>
    </row>
    <row r="69" spans="14:17" ht="15">
      <c r="N69" s="116"/>
      <c r="O69" s="116"/>
      <c r="P69" s="116"/>
      <c r="Q69" s="249"/>
    </row>
    <row r="70" spans="14:17" ht="15">
      <c r="N70" s="116"/>
      <c r="O70" s="116"/>
      <c r="P70" s="116"/>
      <c r="Q70" s="249"/>
    </row>
    <row r="71" spans="14:17" ht="15">
      <c r="N71" s="116"/>
      <c r="O71" s="116"/>
      <c r="P71" s="116"/>
      <c r="Q71" s="249"/>
    </row>
    <row r="72" spans="14:17" ht="15">
      <c r="N72" s="116"/>
      <c r="O72" s="116"/>
      <c r="P72" s="116"/>
      <c r="Q72" s="249"/>
    </row>
    <row r="73" spans="14:17" ht="15">
      <c r="N73" s="116"/>
      <c r="O73" s="116"/>
      <c r="P73" s="116"/>
      <c r="Q73" s="249"/>
    </row>
    <row r="74" spans="14:17" ht="15">
      <c r="N74" s="116"/>
      <c r="O74" s="116"/>
      <c r="P74" s="116"/>
      <c r="Q74" s="249"/>
    </row>
    <row r="75" spans="14:17" ht="15">
      <c r="N75" s="116"/>
      <c r="O75" s="116"/>
      <c r="P75" s="116"/>
      <c r="Q75" s="249"/>
    </row>
    <row r="76" spans="14:17" ht="15">
      <c r="N76" s="116"/>
      <c r="O76" s="116"/>
      <c r="P76" s="116"/>
      <c r="Q76" s="249"/>
    </row>
    <row r="77" spans="14:17" ht="15">
      <c r="N77" s="116"/>
      <c r="O77" s="116"/>
      <c r="P77" s="116"/>
      <c r="Q77" s="249"/>
    </row>
    <row r="78" spans="14:17" ht="15">
      <c r="N78" s="116"/>
      <c r="O78" s="116"/>
      <c r="P78" s="116"/>
      <c r="Q78" s="249"/>
    </row>
    <row r="79" spans="14:17" ht="15">
      <c r="N79" s="116"/>
      <c r="O79" s="116"/>
      <c r="P79" s="116"/>
      <c r="Q79" s="249"/>
    </row>
    <row r="80" spans="14:17" ht="15">
      <c r="N80" s="116"/>
      <c r="O80" s="116"/>
      <c r="P80" s="116"/>
      <c r="Q80" s="249"/>
    </row>
    <row r="81" spans="14:17" ht="15">
      <c r="N81" s="116"/>
      <c r="O81" s="116"/>
      <c r="P81" s="116"/>
      <c r="Q81" s="249"/>
    </row>
    <row r="82" spans="14:17" ht="15">
      <c r="N82" s="116"/>
      <c r="O82" s="116"/>
      <c r="P82" s="116"/>
      <c r="Q82" s="249"/>
    </row>
    <row r="83" spans="14:17" ht="15">
      <c r="N83" s="116"/>
      <c r="O83" s="116"/>
      <c r="P83" s="116"/>
      <c r="Q83" s="249"/>
    </row>
    <row r="84" spans="14:17" ht="15">
      <c r="N84" s="116"/>
      <c r="O84" s="116"/>
      <c r="P84" s="116"/>
      <c r="Q84" s="249"/>
    </row>
    <row r="85" spans="14:17" ht="15">
      <c r="N85" s="116"/>
      <c r="O85" s="116"/>
      <c r="P85" s="116"/>
      <c r="Q85" s="249"/>
    </row>
    <row r="86" spans="14:17" ht="15">
      <c r="N86" s="116"/>
      <c r="O86" s="116"/>
      <c r="P86" s="116"/>
      <c r="Q86" s="249"/>
    </row>
    <row r="87" spans="14:17" ht="15">
      <c r="N87" s="116"/>
      <c r="O87" s="116"/>
      <c r="P87" s="116"/>
      <c r="Q87" s="249"/>
    </row>
    <row r="88" spans="14:17" ht="15">
      <c r="N88" s="116"/>
      <c r="O88" s="116"/>
      <c r="P88" s="116"/>
      <c r="Q88" s="249"/>
    </row>
    <row r="89" spans="14:17" ht="15">
      <c r="N89" s="116"/>
      <c r="O89" s="116"/>
      <c r="P89" s="116"/>
      <c r="Q89" s="249"/>
    </row>
    <row r="90" spans="14:17" ht="15">
      <c r="N90" s="116"/>
      <c r="O90" s="116"/>
      <c r="P90" s="116"/>
      <c r="Q90" s="249"/>
    </row>
    <row r="91" spans="14:17" ht="15">
      <c r="N91" s="116"/>
      <c r="O91" s="116"/>
      <c r="P91" s="116"/>
      <c r="Q91" s="249"/>
    </row>
    <row r="92" spans="14:17" ht="15">
      <c r="N92" s="116"/>
      <c r="O92" s="116"/>
      <c r="P92" s="116"/>
      <c r="Q92" s="249"/>
    </row>
    <row r="93" spans="14:17" ht="15">
      <c r="N93" s="116"/>
      <c r="O93" s="116"/>
      <c r="P93" s="116"/>
      <c r="Q93" s="249"/>
    </row>
    <row r="94" spans="14:17" ht="15">
      <c r="N94" s="116"/>
      <c r="O94" s="116"/>
      <c r="P94" s="116"/>
      <c r="Q94" s="249"/>
    </row>
    <row r="95" spans="14:17" ht="15">
      <c r="N95" s="116"/>
      <c r="O95" s="116"/>
      <c r="P95" s="116"/>
      <c r="Q95" s="249"/>
    </row>
    <row r="96" spans="14:17" ht="15">
      <c r="N96" s="116"/>
      <c r="O96" s="116"/>
      <c r="P96" s="116"/>
      <c r="Q96" s="249"/>
    </row>
    <row r="97" spans="14:17" ht="15">
      <c r="N97" s="116"/>
      <c r="O97" s="116"/>
      <c r="P97" s="116"/>
      <c r="Q97" s="249"/>
    </row>
    <row r="98" spans="14:17" ht="15">
      <c r="N98" s="116"/>
      <c r="O98" s="116"/>
      <c r="P98" s="116"/>
      <c r="Q98" s="249"/>
    </row>
    <row r="99" spans="14:17" ht="15">
      <c r="N99" s="116"/>
      <c r="O99" s="116"/>
      <c r="P99" s="116"/>
      <c r="Q99" s="249"/>
    </row>
    <row r="100" spans="14:17" ht="15">
      <c r="N100" s="116"/>
      <c r="O100" s="116"/>
      <c r="P100" s="116"/>
      <c r="Q100" s="249"/>
    </row>
    <row r="101" spans="14:17" ht="15">
      <c r="N101" s="116"/>
      <c r="O101" s="116"/>
      <c r="P101" s="116"/>
      <c r="Q101" s="249"/>
    </row>
    <row r="102" spans="14:17" ht="15">
      <c r="N102" s="116"/>
      <c r="O102" s="116"/>
      <c r="P102" s="116"/>
      <c r="Q102" s="249"/>
    </row>
    <row r="103" spans="14:17" ht="15">
      <c r="N103" s="116"/>
      <c r="O103" s="116"/>
      <c r="P103" s="116"/>
      <c r="Q103" s="249"/>
    </row>
    <row r="104" spans="14:17" ht="15">
      <c r="N104" s="116"/>
      <c r="O104" s="116"/>
      <c r="P104" s="116"/>
      <c r="Q104" s="249"/>
    </row>
    <row r="105" spans="14:17" ht="15">
      <c r="N105" s="116"/>
      <c r="O105" s="116"/>
      <c r="P105" s="116"/>
      <c r="Q105" s="249"/>
    </row>
    <row r="106" spans="14:17" ht="15">
      <c r="N106" s="116"/>
      <c r="O106" s="116"/>
      <c r="P106" s="116"/>
      <c r="Q106" s="249"/>
    </row>
    <row r="107" spans="14:17" ht="15">
      <c r="N107" s="116"/>
      <c r="O107" s="116"/>
      <c r="P107" s="116"/>
      <c r="Q107" s="249"/>
    </row>
    <row r="108" spans="14:17" ht="15">
      <c r="N108" s="116"/>
      <c r="O108" s="116"/>
      <c r="P108" s="116"/>
      <c r="Q108" s="249"/>
    </row>
    <row r="109" spans="14:17" ht="15">
      <c r="N109" s="116"/>
      <c r="O109" s="116"/>
      <c r="P109" s="116"/>
      <c r="Q109" s="249"/>
    </row>
    <row r="110" spans="14:17" ht="15">
      <c r="N110" s="116"/>
      <c r="O110" s="116"/>
      <c r="P110" s="116"/>
      <c r="Q110" s="249"/>
    </row>
    <row r="111" spans="14:17" ht="15">
      <c r="N111" s="116"/>
      <c r="O111" s="116"/>
      <c r="P111" s="116"/>
      <c r="Q111" s="249"/>
    </row>
    <row r="112" spans="14:17" ht="15">
      <c r="N112" s="116"/>
      <c r="O112" s="116"/>
      <c r="P112" s="116"/>
      <c r="Q112" s="249"/>
    </row>
    <row r="113" spans="14:17" ht="15">
      <c r="N113" s="116"/>
      <c r="O113" s="116"/>
      <c r="P113" s="116"/>
      <c r="Q113" s="249"/>
    </row>
    <row r="114" spans="14:17" ht="15">
      <c r="N114" s="116"/>
      <c r="O114" s="116"/>
      <c r="P114" s="116"/>
      <c r="Q114" s="249"/>
    </row>
    <row r="115" spans="14:17" ht="15">
      <c r="N115" s="116"/>
      <c r="O115" s="116"/>
      <c r="P115" s="116"/>
      <c r="Q115" s="249"/>
    </row>
    <row r="116" spans="14:17" ht="15">
      <c r="N116" s="116"/>
      <c r="O116" s="116"/>
      <c r="P116" s="116"/>
      <c r="Q116" s="249"/>
    </row>
    <row r="117" spans="14:17" ht="15">
      <c r="N117" s="116"/>
      <c r="O117" s="116"/>
      <c r="P117" s="116"/>
      <c r="Q117" s="249"/>
    </row>
    <row r="118" spans="14:17" ht="15">
      <c r="N118" s="116"/>
      <c r="O118" s="116"/>
      <c r="P118" s="116"/>
      <c r="Q118" s="249"/>
    </row>
    <row r="119" spans="14:17" ht="15">
      <c r="N119" s="116"/>
      <c r="O119" s="116"/>
      <c r="P119" s="116"/>
      <c r="Q119" s="249"/>
    </row>
    <row r="120" spans="14:17" ht="15">
      <c r="N120" s="116"/>
      <c r="O120" s="116"/>
      <c r="P120" s="116"/>
      <c r="Q120" s="249"/>
    </row>
    <row r="121" spans="14:17" ht="15">
      <c r="N121" s="116"/>
      <c r="O121" s="116"/>
      <c r="P121" s="116"/>
      <c r="Q121" s="249"/>
    </row>
    <row r="122" spans="14:17" ht="15">
      <c r="N122" s="116"/>
      <c r="O122" s="116"/>
      <c r="P122" s="116"/>
      <c r="Q122" s="249"/>
    </row>
    <row r="123" spans="14:17" ht="15">
      <c r="N123" s="116"/>
      <c r="O123" s="116"/>
      <c r="P123" s="116"/>
      <c r="Q123" s="249"/>
    </row>
    <row r="124" spans="14:17" ht="15">
      <c r="N124" s="116"/>
      <c r="O124" s="116"/>
      <c r="P124" s="116"/>
      <c r="Q124" s="249"/>
    </row>
    <row r="125" spans="14:17" ht="15">
      <c r="N125" s="116"/>
      <c r="O125" s="116"/>
      <c r="P125" s="116"/>
      <c r="Q125" s="249"/>
    </row>
    <row r="126" spans="14:17" ht="15">
      <c r="N126" s="116"/>
      <c r="O126" s="116"/>
      <c r="P126" s="116"/>
      <c r="Q126" s="249"/>
    </row>
    <row r="127" spans="14:17" ht="15">
      <c r="N127" s="116"/>
      <c r="O127" s="116"/>
      <c r="P127" s="116"/>
      <c r="Q127" s="249"/>
    </row>
    <row r="128" spans="14:17" ht="15">
      <c r="N128" s="116"/>
      <c r="O128" s="116"/>
      <c r="P128" s="116"/>
      <c r="Q128" s="249"/>
    </row>
    <row r="129" spans="14:17" ht="15">
      <c r="N129" s="116"/>
      <c r="O129" s="116"/>
      <c r="P129" s="116"/>
      <c r="Q129" s="249"/>
    </row>
    <row r="130" spans="14:17" ht="15">
      <c r="N130" s="116"/>
      <c r="O130" s="116"/>
      <c r="P130" s="116"/>
      <c r="Q130" s="249"/>
    </row>
    <row r="131" spans="14:17" ht="15">
      <c r="N131" s="116"/>
      <c r="O131" s="116"/>
      <c r="P131" s="116"/>
      <c r="Q131" s="249"/>
    </row>
    <row r="132" spans="14:17" ht="15">
      <c r="N132" s="116"/>
      <c r="O132" s="116"/>
      <c r="P132" s="116"/>
      <c r="Q132" s="249"/>
    </row>
    <row r="133" spans="14:17" ht="15">
      <c r="N133" s="116"/>
      <c r="O133" s="116"/>
      <c r="P133" s="116"/>
      <c r="Q133" s="249"/>
    </row>
    <row r="134" spans="14:17" ht="15">
      <c r="N134" s="116"/>
      <c r="O134" s="116"/>
      <c r="P134" s="116"/>
      <c r="Q134" s="249"/>
    </row>
    <row r="135" spans="14:17" ht="15">
      <c r="N135" s="116"/>
      <c r="O135" s="116"/>
      <c r="P135" s="116"/>
      <c r="Q135" s="249"/>
    </row>
    <row r="136" spans="14:17" ht="15">
      <c r="N136" s="116"/>
      <c r="O136" s="116"/>
      <c r="P136" s="116"/>
      <c r="Q136" s="249"/>
    </row>
    <row r="137" spans="14:17" ht="15">
      <c r="N137" s="116"/>
      <c r="O137" s="116"/>
      <c r="P137" s="116"/>
      <c r="Q137" s="249"/>
    </row>
    <row r="138" spans="14:17" ht="15">
      <c r="N138" s="116"/>
      <c r="O138" s="116"/>
      <c r="P138" s="116"/>
      <c r="Q138" s="249"/>
    </row>
    <row r="139" spans="14:17" ht="15">
      <c r="N139" s="116"/>
      <c r="O139" s="116"/>
      <c r="P139" s="116"/>
      <c r="Q139" s="249"/>
    </row>
    <row r="140" spans="14:17" ht="15">
      <c r="N140" s="116"/>
      <c r="O140" s="116"/>
      <c r="P140" s="116"/>
      <c r="Q140" s="249"/>
    </row>
    <row r="141" spans="14:17" ht="15">
      <c r="N141" s="116"/>
      <c r="O141" s="116"/>
      <c r="P141" s="116"/>
      <c r="Q141" s="249"/>
    </row>
    <row r="142" spans="14:17" ht="15">
      <c r="N142" s="116"/>
      <c r="O142" s="116"/>
      <c r="P142" s="116"/>
      <c r="Q142" s="249"/>
    </row>
    <row r="143" spans="14:17" ht="15">
      <c r="N143" s="116"/>
      <c r="O143" s="116"/>
      <c r="P143" s="116"/>
      <c r="Q143" s="249"/>
    </row>
    <row r="144" spans="14:17" ht="15">
      <c r="N144" s="116"/>
      <c r="O144" s="116"/>
      <c r="P144" s="116"/>
      <c r="Q144" s="249"/>
    </row>
    <row r="145" spans="14:17" ht="15">
      <c r="N145" s="116"/>
      <c r="O145" s="116"/>
      <c r="P145" s="116"/>
      <c r="Q145" s="249"/>
    </row>
    <row r="146" spans="14:17" ht="15">
      <c r="N146" s="116"/>
      <c r="O146" s="116"/>
      <c r="P146" s="116"/>
      <c r="Q146" s="249"/>
    </row>
    <row r="147" spans="14:17" ht="15">
      <c r="N147" s="116"/>
      <c r="O147" s="116"/>
      <c r="P147" s="116"/>
      <c r="Q147" s="249"/>
    </row>
    <row r="148" spans="14:17" ht="15">
      <c r="N148" s="116"/>
      <c r="O148" s="116"/>
      <c r="P148" s="116"/>
      <c r="Q148" s="249"/>
    </row>
    <row r="149" spans="14:17" ht="15">
      <c r="N149" s="116"/>
      <c r="O149" s="116"/>
      <c r="P149" s="116"/>
      <c r="Q149" s="249"/>
    </row>
    <row r="150" spans="14:17" ht="15">
      <c r="N150" s="116"/>
      <c r="O150" s="116"/>
      <c r="P150" s="116"/>
      <c r="Q150" s="249"/>
    </row>
    <row r="151" spans="14:17" ht="15">
      <c r="N151" s="116"/>
      <c r="O151" s="116"/>
      <c r="P151" s="116"/>
      <c r="Q151" s="249"/>
    </row>
    <row r="152" spans="14:17" ht="15">
      <c r="N152" s="116"/>
      <c r="O152" s="116"/>
      <c r="P152" s="116"/>
      <c r="Q152" s="249"/>
    </row>
    <row r="153" spans="14:17" ht="15">
      <c r="N153" s="116"/>
      <c r="O153" s="116"/>
      <c r="P153" s="116"/>
      <c r="Q153" s="249"/>
    </row>
    <row r="154" spans="14:17" ht="15">
      <c r="N154" s="116"/>
      <c r="O154" s="116"/>
      <c r="P154" s="116"/>
      <c r="Q154" s="249"/>
    </row>
    <row r="155" spans="14:17" ht="15">
      <c r="N155" s="116"/>
      <c r="O155" s="116"/>
      <c r="P155" s="116"/>
      <c r="Q155" s="249"/>
    </row>
    <row r="156" spans="14:17" ht="15">
      <c r="N156" s="116"/>
      <c r="O156" s="116"/>
      <c r="P156" s="116"/>
      <c r="Q156" s="249"/>
    </row>
    <row r="157" spans="14:17" ht="15">
      <c r="N157" s="116"/>
      <c r="O157" s="116"/>
      <c r="P157" s="116"/>
      <c r="Q157" s="249"/>
    </row>
    <row r="158" spans="14:17" ht="15">
      <c r="N158" s="116"/>
      <c r="O158" s="116"/>
      <c r="P158" s="116"/>
      <c r="Q158" s="249"/>
    </row>
    <row r="159" spans="14:17" ht="15">
      <c r="N159" s="116"/>
      <c r="O159" s="116"/>
      <c r="P159" s="116"/>
      <c r="Q159" s="249"/>
    </row>
    <row r="160" spans="14:17" ht="15">
      <c r="N160" s="116"/>
      <c r="O160" s="116"/>
      <c r="P160" s="116"/>
      <c r="Q160" s="249"/>
    </row>
    <row r="161" spans="14:17" ht="15">
      <c r="N161" s="116"/>
      <c r="O161" s="116"/>
      <c r="P161" s="116"/>
      <c r="Q161" s="249"/>
    </row>
    <row r="162" spans="14:17" ht="15">
      <c r="N162" s="116"/>
      <c r="O162" s="116"/>
      <c r="P162" s="116"/>
      <c r="Q162" s="249"/>
    </row>
    <row r="163" spans="14:17" ht="15">
      <c r="N163" s="116"/>
      <c r="O163" s="116"/>
      <c r="P163" s="116"/>
      <c r="Q163" s="249"/>
    </row>
  </sheetData>
  <sheetProtection/>
  <mergeCells count="25">
    <mergeCell ref="A1:Y1"/>
    <mergeCell ref="E4:E5"/>
    <mergeCell ref="C3:F3"/>
    <mergeCell ref="G3:M3"/>
    <mergeCell ref="M4:M5"/>
    <mergeCell ref="V3:V5"/>
    <mergeCell ref="A2:Q2"/>
    <mergeCell ref="G4:I4"/>
    <mergeCell ref="J4:L4"/>
    <mergeCell ref="K15:L15"/>
    <mergeCell ref="N4:P4"/>
    <mergeCell ref="Q4:S4"/>
    <mergeCell ref="C4:C5"/>
    <mergeCell ref="D4:D5"/>
    <mergeCell ref="F4:F5"/>
    <mergeCell ref="AC3:AE3"/>
    <mergeCell ref="N16:O16"/>
    <mergeCell ref="N17:O17"/>
    <mergeCell ref="K16:L16"/>
    <mergeCell ref="K17:L17"/>
    <mergeCell ref="W3:Y3"/>
    <mergeCell ref="Z3:AB3"/>
    <mergeCell ref="N3:T3"/>
    <mergeCell ref="T4:T5"/>
    <mergeCell ref="U3:U5"/>
  </mergeCells>
  <printOptions/>
  <pageMargins left="0.196850393700787" right="0.236220472440945" top="0.196850393700787" bottom="0.196850393700787" header="0.275590551181102" footer="0.511811023622047"/>
  <pageSetup horizontalDpi="600" verticalDpi="600" orientation="landscape" paperSize="9" r:id="rId1"/>
  <headerFooter differentFirst="1" alignWithMargins="0">
    <oddHeader>&amp;C&amp;P</oddHeader>
  </headerFooter>
</worksheet>
</file>

<file path=xl/worksheets/sheet9.xml><?xml version="1.0" encoding="utf-8"?>
<worksheet xmlns="http://schemas.openxmlformats.org/spreadsheetml/2006/main" xmlns:r="http://schemas.openxmlformats.org/officeDocument/2006/relationships">
  <dimension ref="A1:S66"/>
  <sheetViews>
    <sheetView zoomScalePageLayoutView="0" workbookViewId="0" topLeftCell="A1">
      <pane xSplit="1" ySplit="4" topLeftCell="B11" activePane="bottomRight" state="frozen"/>
      <selection pane="topLeft" activeCell="A1" sqref="A1"/>
      <selection pane="topRight" activeCell="B1" sqref="B1"/>
      <selection pane="bottomLeft" activeCell="A8" sqref="A8"/>
      <selection pane="bottomRight" activeCell="L14" sqref="L14"/>
    </sheetView>
  </sheetViews>
  <sheetFormatPr defaultColWidth="9.00390625" defaultRowHeight="15.75"/>
  <cols>
    <col min="1" max="1" width="3.375" style="3" bestFit="1" customWidth="1"/>
    <col min="2" max="2" width="21.25390625" style="3" customWidth="1"/>
    <col min="3" max="3" width="7.625" style="3" customWidth="1"/>
    <col min="4" max="4" width="7.875" style="3" customWidth="1"/>
    <col min="5" max="5" width="7.125" style="3" customWidth="1"/>
    <col min="6" max="6" width="7.00390625" style="201" customWidth="1"/>
    <col min="7" max="7" width="6.00390625" style="3" customWidth="1"/>
    <col min="8" max="8" width="9.25390625" style="3" customWidth="1"/>
    <col min="9" max="9" width="8.25390625" style="116" customWidth="1"/>
    <col min="10" max="10" width="9.875" style="116" customWidth="1"/>
    <col min="11" max="11" width="8.625" style="117" customWidth="1"/>
    <col min="12" max="14" width="11.625" style="219" customWidth="1"/>
    <col min="15" max="15" width="9.25390625" style="228" customWidth="1"/>
    <col min="16" max="18" width="9.00390625" style="3" customWidth="1"/>
    <col min="19" max="19" width="6.50390625" style="3" customWidth="1"/>
    <col min="20" max="16384" width="9.00390625" style="3" customWidth="1"/>
  </cols>
  <sheetData>
    <row r="1" spans="1:15" ht="21" customHeight="1">
      <c r="A1" s="692" t="s">
        <v>207</v>
      </c>
      <c r="B1" s="692"/>
      <c r="C1" s="692"/>
      <c r="D1" s="692"/>
      <c r="E1" s="692"/>
      <c r="F1" s="692"/>
      <c r="G1" s="692"/>
      <c r="H1" s="692"/>
      <c r="I1" s="692"/>
      <c r="J1" s="692"/>
      <c r="K1" s="692"/>
      <c r="L1" s="692"/>
      <c r="M1" s="692"/>
      <c r="N1" s="692"/>
      <c r="O1" s="692"/>
    </row>
    <row r="2" spans="1:15" s="115" customFormat="1" ht="18">
      <c r="A2" s="737"/>
      <c r="B2" s="737"/>
      <c r="C2" s="737"/>
      <c r="D2" s="737"/>
      <c r="E2" s="737"/>
      <c r="F2" s="737"/>
      <c r="G2" s="737"/>
      <c r="H2" s="737"/>
      <c r="I2" s="737"/>
      <c r="J2" s="737"/>
      <c r="K2" s="737"/>
      <c r="L2" s="737"/>
      <c r="M2" s="737"/>
      <c r="N2" s="737"/>
      <c r="O2" s="737"/>
    </row>
    <row r="3" ht="12.75" customHeight="1"/>
    <row r="4" spans="1:15" s="146" customFormat="1" ht="54.75" customHeight="1">
      <c r="A4" s="142" t="s">
        <v>0</v>
      </c>
      <c r="B4" s="142" t="s">
        <v>24</v>
      </c>
      <c r="C4" s="142" t="s">
        <v>9</v>
      </c>
      <c r="D4" s="143" t="s">
        <v>136</v>
      </c>
      <c r="E4" s="143" t="s">
        <v>138</v>
      </c>
      <c r="F4" s="198" t="s">
        <v>181</v>
      </c>
      <c r="G4" s="143" t="s">
        <v>182</v>
      </c>
      <c r="H4" s="143" t="s">
        <v>137</v>
      </c>
      <c r="I4" s="143" t="s">
        <v>5</v>
      </c>
      <c r="J4" s="143" t="s">
        <v>139</v>
      </c>
      <c r="K4" s="144" t="s">
        <v>140</v>
      </c>
      <c r="L4" s="220" t="s">
        <v>173</v>
      </c>
      <c r="M4" s="220" t="s">
        <v>225</v>
      </c>
      <c r="N4" s="220" t="s">
        <v>226</v>
      </c>
      <c r="O4" s="229" t="s">
        <v>183</v>
      </c>
    </row>
    <row r="5" spans="1:18" s="121" customFormat="1" ht="18.75" customHeight="1">
      <c r="A5" s="110" t="s">
        <v>13</v>
      </c>
      <c r="B5" s="119" t="s">
        <v>20</v>
      </c>
      <c r="C5" s="110">
        <v>3</v>
      </c>
      <c r="D5" s="110">
        <f>SUM(D6:D6)</f>
        <v>0</v>
      </c>
      <c r="E5" s="110">
        <f>SUM(E6:E6)</f>
        <v>2</v>
      </c>
      <c r="F5" s="202"/>
      <c r="G5" s="110"/>
      <c r="H5" s="171">
        <v>29</v>
      </c>
      <c r="I5" s="110">
        <v>6.53</v>
      </c>
      <c r="J5" s="112"/>
      <c r="K5" s="111">
        <f>SUM(K6:K6)</f>
        <v>30</v>
      </c>
      <c r="L5" s="221">
        <f>SUM(L6:L6)</f>
        <v>482.64142157362494</v>
      </c>
      <c r="M5" s="160">
        <f>+L5*0.9</f>
        <v>434.37727941626247</v>
      </c>
      <c r="N5" s="221">
        <f>+L5*0.1</f>
        <v>48.2641421573625</v>
      </c>
      <c r="O5" s="221">
        <f aca="true" t="shared" si="0" ref="O5:O36">+$L$63*K5</f>
        <v>26.237524466639595</v>
      </c>
      <c r="P5" s="290">
        <f>O5*5</f>
        <v>131.18762233319796</v>
      </c>
      <c r="Q5" s="290"/>
      <c r="R5" s="290"/>
    </row>
    <row r="6" spans="1:19" ht="18.75" customHeight="1">
      <c r="A6" s="64">
        <v>1</v>
      </c>
      <c r="B6" s="70" t="s">
        <v>21</v>
      </c>
      <c r="C6" s="65"/>
      <c r="D6" s="65"/>
      <c r="E6" s="66">
        <v>2</v>
      </c>
      <c r="F6" s="203"/>
      <c r="G6" s="66">
        <v>15</v>
      </c>
      <c r="H6" s="171">
        <f>+G6*E6+F6</f>
        <v>30</v>
      </c>
      <c r="I6" s="64">
        <v>6.53</v>
      </c>
      <c r="J6" s="112"/>
      <c r="K6" s="113">
        <f>+D6+H6+J6</f>
        <v>30</v>
      </c>
      <c r="L6" s="222">
        <f>+$J$63*K6</f>
        <v>482.64142157362494</v>
      </c>
      <c r="M6" s="160">
        <f>+L6*0.9</f>
        <v>434.37727941626247</v>
      </c>
      <c r="N6" s="222">
        <v>50</v>
      </c>
      <c r="O6" s="160">
        <f t="shared" si="0"/>
        <v>26.237524466639595</v>
      </c>
      <c r="P6" s="292">
        <f aca="true" t="shared" si="1" ref="P6:P58">O6*5</f>
        <v>131.18762233319796</v>
      </c>
      <c r="Q6" s="290"/>
      <c r="R6" s="290"/>
      <c r="S6" s="121"/>
    </row>
    <row r="7" spans="1:19" s="72" customFormat="1" ht="16.5" customHeight="1">
      <c r="A7" s="80" t="s">
        <v>15</v>
      </c>
      <c r="B7" s="81" t="s">
        <v>25</v>
      </c>
      <c r="C7" s="80">
        <v>17</v>
      </c>
      <c r="D7" s="122">
        <f>SUM(D8:D24)</f>
        <v>1302</v>
      </c>
      <c r="E7" s="122">
        <f aca="true" t="shared" si="2" ref="E7:K7">SUM(E8:E24)</f>
        <v>108</v>
      </c>
      <c r="F7" s="199"/>
      <c r="G7" s="66">
        <v>15</v>
      </c>
      <c r="H7" s="122">
        <f t="shared" si="2"/>
        <v>165</v>
      </c>
      <c r="I7" s="122">
        <f t="shared" si="2"/>
        <v>499.7567757770457</v>
      </c>
      <c r="J7" s="122">
        <f t="shared" si="2"/>
        <v>108.15419394426141</v>
      </c>
      <c r="K7" s="111">
        <f t="shared" si="2"/>
        <v>1647.1541939442616</v>
      </c>
      <c r="L7" s="221">
        <f>SUM(L8:L24)</f>
        <v>26499.49472387389</v>
      </c>
      <c r="M7" s="221">
        <f aca="true" t="shared" si="3" ref="M7:M57">+L7*0.9</f>
        <v>23849.545251486503</v>
      </c>
      <c r="N7" s="221">
        <f>+L7*0.1</f>
        <v>2649.949472387389</v>
      </c>
      <c r="O7" s="221">
        <f>+$L$63*K7</f>
        <v>1440.5749487980195</v>
      </c>
      <c r="P7" s="290">
        <f t="shared" si="1"/>
        <v>7202.874743990097</v>
      </c>
      <c r="Q7" s="290"/>
      <c r="R7" s="290"/>
      <c r="S7" s="121"/>
    </row>
    <row r="8" spans="1:19" ht="16.5" customHeight="1">
      <c r="A8" s="22">
        <v>1</v>
      </c>
      <c r="B8" s="123" t="s">
        <v>26</v>
      </c>
      <c r="C8" s="69">
        <v>1</v>
      </c>
      <c r="D8" s="69"/>
      <c r="E8" s="185">
        <v>8</v>
      </c>
      <c r="F8" s="149">
        <v>3</v>
      </c>
      <c r="G8" s="66">
        <v>15</v>
      </c>
      <c r="H8" s="64">
        <f>+G8*4</f>
        <v>60</v>
      </c>
      <c r="I8" s="112">
        <v>32.71</v>
      </c>
      <c r="J8" s="112"/>
      <c r="K8" s="113">
        <f aca="true" t="shared" si="4" ref="K8:K24">J8+H8+F8+D8</f>
        <v>63</v>
      </c>
      <c r="L8" s="222">
        <f aca="true" t="shared" si="5" ref="L8:L24">+$J$63*K8</f>
        <v>1013.5469853046123</v>
      </c>
      <c r="M8" s="160">
        <f>+L8*0.9</f>
        <v>912.1922867741512</v>
      </c>
      <c r="N8" s="222"/>
      <c r="O8" s="160">
        <f t="shared" si="0"/>
        <v>55.098801379943154</v>
      </c>
      <c r="P8" s="292">
        <f>O8*5</f>
        <v>275.49400689971577</v>
      </c>
      <c r="Q8" s="290"/>
      <c r="R8" s="290"/>
      <c r="S8" s="121"/>
    </row>
    <row r="9" spans="1:19" ht="16.5" customHeight="1">
      <c r="A9" s="69">
        <v>2</v>
      </c>
      <c r="B9" s="123" t="s">
        <v>45</v>
      </c>
      <c r="C9" s="69">
        <v>1</v>
      </c>
      <c r="D9" s="69"/>
      <c r="E9" s="185">
        <v>3</v>
      </c>
      <c r="F9" s="149"/>
      <c r="G9" s="66">
        <v>15</v>
      </c>
      <c r="H9" s="64">
        <f>+G9*3+F9</f>
        <v>45</v>
      </c>
      <c r="I9" s="112">
        <v>10.57</v>
      </c>
      <c r="J9" s="112"/>
      <c r="K9" s="113">
        <f t="shared" si="4"/>
        <v>45</v>
      </c>
      <c r="L9" s="222">
        <f t="shared" si="5"/>
        <v>723.9621323604374</v>
      </c>
      <c r="M9" s="160">
        <f t="shared" si="3"/>
        <v>651.5659191243936</v>
      </c>
      <c r="N9" s="222"/>
      <c r="O9" s="160">
        <f t="shared" si="0"/>
        <v>39.35628669995939</v>
      </c>
      <c r="P9" s="292">
        <f>O9*5</f>
        <v>196.78143349979695</v>
      </c>
      <c r="Q9" s="290"/>
      <c r="R9" s="290"/>
      <c r="S9" s="121"/>
    </row>
    <row r="10" spans="1:19" ht="16.5" customHeight="1">
      <c r="A10" s="22">
        <v>3</v>
      </c>
      <c r="B10" s="123" t="s">
        <v>44</v>
      </c>
      <c r="C10" s="69"/>
      <c r="D10" s="69"/>
      <c r="E10" s="185">
        <v>5</v>
      </c>
      <c r="F10" s="149">
        <v>3</v>
      </c>
      <c r="G10" s="66">
        <v>15</v>
      </c>
      <c r="H10" s="64">
        <f>+G10*4</f>
        <v>60</v>
      </c>
      <c r="I10" s="112">
        <v>23.86</v>
      </c>
      <c r="J10" s="112"/>
      <c r="K10" s="113">
        <f t="shared" si="4"/>
        <v>63</v>
      </c>
      <c r="L10" s="222">
        <f t="shared" si="5"/>
        <v>1013.5469853046123</v>
      </c>
      <c r="M10" s="160">
        <f t="shared" si="3"/>
        <v>912.1922867741512</v>
      </c>
      <c r="N10" s="222"/>
      <c r="O10" s="160">
        <f t="shared" si="0"/>
        <v>55.098801379943154</v>
      </c>
      <c r="P10" s="292">
        <f t="shared" si="1"/>
        <v>275.49400689971577</v>
      </c>
      <c r="Q10" s="290"/>
      <c r="R10" s="290"/>
      <c r="S10" s="121"/>
    </row>
    <row r="11" spans="1:19" ht="16.5" customHeight="1">
      <c r="A11" s="22">
        <v>4</v>
      </c>
      <c r="B11" s="99" t="s">
        <v>144</v>
      </c>
      <c r="C11" s="69"/>
      <c r="D11" s="69">
        <v>93</v>
      </c>
      <c r="E11" s="33">
        <v>7</v>
      </c>
      <c r="F11" s="149">
        <v>5</v>
      </c>
      <c r="G11" s="66"/>
      <c r="H11" s="64"/>
      <c r="I11" s="112">
        <v>23.49537037037037</v>
      </c>
      <c r="J11" s="112">
        <f aca="true" t="shared" si="6" ref="J11:J23">+I11*0.25</f>
        <v>5.873842592592593</v>
      </c>
      <c r="K11" s="113">
        <f t="shared" si="4"/>
        <v>103.8738425925926</v>
      </c>
      <c r="L11" s="222">
        <f t="shared" si="5"/>
        <v>1671.1273017734613</v>
      </c>
      <c r="M11" s="160">
        <f>+L11*0.9</f>
        <v>1504.0145715961153</v>
      </c>
      <c r="N11" s="222"/>
      <c r="O11" s="160">
        <f t="shared" si="0"/>
        <v>90.84641621556727</v>
      </c>
      <c r="P11" s="292">
        <f t="shared" si="1"/>
        <v>454.23208107783637</v>
      </c>
      <c r="Q11" s="290"/>
      <c r="R11" s="290"/>
      <c r="S11" s="121"/>
    </row>
    <row r="12" spans="1:19" ht="16.5" customHeight="1">
      <c r="A12" s="69">
        <v>5</v>
      </c>
      <c r="B12" s="99" t="s">
        <v>450</v>
      </c>
      <c r="C12" s="69"/>
      <c r="D12" s="69">
        <v>93</v>
      </c>
      <c r="E12" s="33">
        <v>8</v>
      </c>
      <c r="F12" s="149">
        <v>5</v>
      </c>
      <c r="G12" s="66"/>
      <c r="H12" s="64"/>
      <c r="I12" s="112">
        <v>19.410496046010064</v>
      </c>
      <c r="J12" s="112">
        <f t="shared" si="6"/>
        <v>4.852624011502516</v>
      </c>
      <c r="K12" s="113">
        <f t="shared" si="4"/>
        <v>102.85262401150251</v>
      </c>
      <c r="L12" s="222">
        <f t="shared" si="5"/>
        <v>1654.6978888496374</v>
      </c>
      <c r="M12" s="160">
        <f t="shared" si="3"/>
        <v>1489.2280999646737</v>
      </c>
      <c r="N12" s="222"/>
      <c r="O12" s="160">
        <f t="shared" si="0"/>
        <v>89.95327463199601</v>
      </c>
      <c r="P12" s="292">
        <f t="shared" si="1"/>
        <v>449.76637315998005</v>
      </c>
      <c r="Q12" s="290"/>
      <c r="R12" s="290"/>
      <c r="S12" s="121"/>
    </row>
    <row r="13" spans="1:19" ht="16.5" customHeight="1">
      <c r="A13" s="22">
        <v>6</v>
      </c>
      <c r="B13" s="99" t="s">
        <v>451</v>
      </c>
      <c r="C13" s="69"/>
      <c r="D13" s="69">
        <v>93</v>
      </c>
      <c r="E13" s="33">
        <v>4</v>
      </c>
      <c r="F13" s="149">
        <v>3</v>
      </c>
      <c r="G13" s="66"/>
      <c r="H13" s="64"/>
      <c r="I13" s="112">
        <v>34.59016393442623</v>
      </c>
      <c r="J13" s="112">
        <f t="shared" si="6"/>
        <v>8.647540983606557</v>
      </c>
      <c r="K13" s="113">
        <f t="shared" si="4"/>
        <v>104.64754098360656</v>
      </c>
      <c r="L13" s="222">
        <f>+$J$63*K13</f>
        <v>1683.5745981504015</v>
      </c>
      <c r="M13" s="160">
        <f t="shared" si="3"/>
        <v>1515.2171383353614</v>
      </c>
      <c r="N13" s="222"/>
      <c r="O13" s="160">
        <f t="shared" si="0"/>
        <v>91.52308056436823</v>
      </c>
      <c r="P13" s="292">
        <f t="shared" si="1"/>
        <v>457.61540282184114</v>
      </c>
      <c r="Q13" s="290"/>
      <c r="R13" s="290"/>
      <c r="S13" s="121"/>
    </row>
    <row r="14" spans="1:19" ht="16.5" customHeight="1">
      <c r="A14" s="22">
        <v>7</v>
      </c>
      <c r="B14" s="99" t="s">
        <v>452</v>
      </c>
      <c r="C14" s="69"/>
      <c r="D14" s="69">
        <v>93</v>
      </c>
      <c r="E14" s="33">
        <v>10</v>
      </c>
      <c r="F14" s="149">
        <v>7</v>
      </c>
      <c r="G14" s="66"/>
      <c r="H14" s="64"/>
      <c r="I14" s="112">
        <v>36.12244897959184</v>
      </c>
      <c r="J14" s="112">
        <f t="shared" si="6"/>
        <v>9.03061224489796</v>
      </c>
      <c r="K14" s="113">
        <f t="shared" si="4"/>
        <v>109.03061224489795</v>
      </c>
      <c r="L14" s="223">
        <f>+$J$63*K14</f>
        <v>1754.0896562973408</v>
      </c>
      <c r="M14" s="160">
        <f>+L14*0.9</f>
        <v>1578.6806906676068</v>
      </c>
      <c r="N14" s="223"/>
      <c r="O14" s="160">
        <f t="shared" si="0"/>
        <v>95.35644521294016</v>
      </c>
      <c r="P14" s="292">
        <f t="shared" si="1"/>
        <v>476.7822260647008</v>
      </c>
      <c r="Q14" s="290"/>
      <c r="R14" s="290"/>
      <c r="S14" s="121"/>
    </row>
    <row r="15" spans="1:19" ht="16.5" customHeight="1">
      <c r="A15" s="69">
        <v>8</v>
      </c>
      <c r="B15" s="99" t="s">
        <v>453</v>
      </c>
      <c r="C15" s="69"/>
      <c r="D15" s="69">
        <v>93</v>
      </c>
      <c r="E15" s="33">
        <v>4</v>
      </c>
      <c r="F15" s="149">
        <v>3</v>
      </c>
      <c r="G15" s="66"/>
      <c r="H15" s="64"/>
      <c r="I15" s="112">
        <v>31.180124223602483</v>
      </c>
      <c r="J15" s="112">
        <f t="shared" si="6"/>
        <v>7.795031055900621</v>
      </c>
      <c r="K15" s="113">
        <f t="shared" si="4"/>
        <v>103.79503105590062</v>
      </c>
      <c r="L15" s="222">
        <f t="shared" si="5"/>
        <v>1669.859378036614</v>
      </c>
      <c r="M15" s="160">
        <f>+L15*0.9</f>
        <v>1502.8734402329528</v>
      </c>
      <c r="N15" s="222"/>
      <c r="O15" s="160">
        <f>+$L$63*K15</f>
        <v>90.77748889482697</v>
      </c>
      <c r="P15" s="292">
        <f t="shared" si="1"/>
        <v>453.8874444741349</v>
      </c>
      <c r="Q15" s="290"/>
      <c r="R15" s="290"/>
      <c r="S15" s="121"/>
    </row>
    <row r="16" spans="1:19" ht="16.5" customHeight="1">
      <c r="A16" s="22">
        <v>9</v>
      </c>
      <c r="B16" s="99" t="s">
        <v>454</v>
      </c>
      <c r="C16" s="69"/>
      <c r="D16" s="69">
        <v>93</v>
      </c>
      <c r="E16" s="33">
        <v>6</v>
      </c>
      <c r="F16" s="149">
        <v>5</v>
      </c>
      <c r="G16" s="66"/>
      <c r="H16" s="64"/>
      <c r="I16" s="112">
        <v>28.24742268041237</v>
      </c>
      <c r="J16" s="112">
        <f t="shared" si="6"/>
        <v>7.061855670103093</v>
      </c>
      <c r="K16" s="113">
        <f t="shared" si="4"/>
        <v>105.06185567010309</v>
      </c>
      <c r="L16" s="222">
        <f t="shared" si="5"/>
        <v>1690.2401124593853</v>
      </c>
      <c r="M16" s="160">
        <f t="shared" si="3"/>
        <v>1521.2161012134468</v>
      </c>
      <c r="N16" s="222"/>
      <c r="O16" s="160">
        <f t="shared" si="0"/>
        <v>91.88543362182959</v>
      </c>
      <c r="P16" s="292">
        <f t="shared" si="1"/>
        <v>459.42716810914794</v>
      </c>
      <c r="Q16" s="290"/>
      <c r="R16" s="290"/>
      <c r="S16" s="121"/>
    </row>
    <row r="17" spans="1:19" ht="16.5" customHeight="1">
      <c r="A17" s="22">
        <v>10</v>
      </c>
      <c r="B17" s="99" t="s">
        <v>455</v>
      </c>
      <c r="C17" s="69"/>
      <c r="D17" s="69">
        <v>93</v>
      </c>
      <c r="E17" s="33">
        <v>12</v>
      </c>
      <c r="F17" s="149">
        <v>7</v>
      </c>
      <c r="G17" s="66"/>
      <c r="H17" s="64"/>
      <c r="I17" s="112">
        <v>27.587844254510923</v>
      </c>
      <c r="J17" s="112">
        <f t="shared" si="6"/>
        <v>6.896961063627731</v>
      </c>
      <c r="K17" s="113">
        <f t="shared" si="4"/>
        <v>106.89696106362773</v>
      </c>
      <c r="L17" s="222">
        <f t="shared" si="5"/>
        <v>1719.763374988324</v>
      </c>
      <c r="M17" s="160">
        <f t="shared" si="3"/>
        <v>1547.7870374894915</v>
      </c>
      <c r="N17" s="222"/>
      <c r="O17" s="160">
        <f t="shared" si="0"/>
        <v>93.4903877105451</v>
      </c>
      <c r="P17" s="292">
        <f t="shared" si="1"/>
        <v>467.45193855272544</v>
      </c>
      <c r="Q17" s="290"/>
      <c r="R17" s="290"/>
      <c r="S17" s="121"/>
    </row>
    <row r="18" spans="1:19" ht="16.5" customHeight="1">
      <c r="A18" s="69">
        <v>11</v>
      </c>
      <c r="B18" s="99" t="s">
        <v>456</v>
      </c>
      <c r="C18" s="69"/>
      <c r="D18" s="69">
        <v>93</v>
      </c>
      <c r="E18" s="33">
        <v>6</v>
      </c>
      <c r="F18" s="149">
        <v>5</v>
      </c>
      <c r="G18" s="66"/>
      <c r="H18" s="64"/>
      <c r="I18" s="112">
        <v>27.33887733887734</v>
      </c>
      <c r="J18" s="112">
        <f t="shared" si="6"/>
        <v>6.834719334719335</v>
      </c>
      <c r="K18" s="113">
        <f t="shared" si="4"/>
        <v>104.83471933471934</v>
      </c>
      <c r="L18" s="223">
        <f t="shared" si="5"/>
        <v>1686.5859323326974</v>
      </c>
      <c r="M18" s="160">
        <f t="shared" si="3"/>
        <v>1517.9273390994276</v>
      </c>
      <c r="N18" s="223"/>
      <c r="O18" s="160">
        <f t="shared" si="0"/>
        <v>91.68678378326646</v>
      </c>
      <c r="P18" s="292">
        <f t="shared" si="1"/>
        <v>458.43391891633235</v>
      </c>
      <c r="Q18" s="290"/>
      <c r="R18" s="290"/>
      <c r="S18" s="121"/>
    </row>
    <row r="19" spans="1:19" ht="16.5" customHeight="1">
      <c r="A19" s="22">
        <v>12</v>
      </c>
      <c r="B19" s="99" t="s">
        <v>457</v>
      </c>
      <c r="C19" s="69"/>
      <c r="D19" s="69">
        <v>93</v>
      </c>
      <c r="E19" s="33">
        <v>6</v>
      </c>
      <c r="F19" s="149">
        <v>5</v>
      </c>
      <c r="G19" s="66"/>
      <c r="H19" s="64"/>
      <c r="I19" s="112">
        <v>29.33920704845815</v>
      </c>
      <c r="J19" s="112">
        <f t="shared" si="6"/>
        <v>7.334801762114537</v>
      </c>
      <c r="K19" s="113">
        <f t="shared" si="4"/>
        <v>105.33480176211454</v>
      </c>
      <c r="L19" s="222">
        <f t="shared" si="5"/>
        <v>1694.631282121431</v>
      </c>
      <c r="M19" s="160">
        <f t="shared" si="3"/>
        <v>1525.1681539092879</v>
      </c>
      <c r="N19" s="222"/>
      <c r="O19" s="160">
        <f t="shared" si="0"/>
        <v>92.12414794740373</v>
      </c>
      <c r="P19" s="292">
        <f t="shared" si="1"/>
        <v>460.62073973701865</v>
      </c>
      <c r="Q19" s="290"/>
      <c r="R19" s="290"/>
      <c r="S19" s="121"/>
    </row>
    <row r="20" spans="1:19" ht="16.5" customHeight="1">
      <c r="A20" s="22">
        <v>13</v>
      </c>
      <c r="B20" s="99" t="s">
        <v>458</v>
      </c>
      <c r="C20" s="69"/>
      <c r="D20" s="69">
        <v>93</v>
      </c>
      <c r="E20" s="33">
        <v>6</v>
      </c>
      <c r="F20" s="149">
        <v>5</v>
      </c>
      <c r="G20" s="66"/>
      <c r="H20" s="64"/>
      <c r="I20" s="112">
        <v>39.844509232264336</v>
      </c>
      <c r="J20" s="112">
        <f t="shared" si="6"/>
        <v>9.961127308066084</v>
      </c>
      <c r="K20" s="113">
        <f t="shared" si="4"/>
        <v>107.96112730806608</v>
      </c>
      <c r="L20" s="224">
        <f t="shared" si="5"/>
        <v>1736.8837319552038</v>
      </c>
      <c r="M20" s="160">
        <f t="shared" si="3"/>
        <v>1563.1953587596834</v>
      </c>
      <c r="N20" s="224"/>
      <c r="O20" s="221">
        <f t="shared" si="0"/>
        <v>94.42109063971253</v>
      </c>
      <c r="P20" s="292">
        <f t="shared" si="1"/>
        <v>472.10545319856266</v>
      </c>
      <c r="Q20" s="290"/>
      <c r="R20" s="290"/>
      <c r="S20" s="121"/>
    </row>
    <row r="21" spans="1:19" ht="16.5" customHeight="1">
      <c r="A21" s="69">
        <v>14</v>
      </c>
      <c r="B21" s="99" t="s">
        <v>459</v>
      </c>
      <c r="C21" s="69"/>
      <c r="D21" s="69">
        <v>93</v>
      </c>
      <c r="E21" s="33">
        <v>4</v>
      </c>
      <c r="F21" s="149">
        <v>3</v>
      </c>
      <c r="G21" s="66"/>
      <c r="H21" s="64"/>
      <c r="I21" s="112">
        <v>32.05619412515964</v>
      </c>
      <c r="J21" s="112">
        <f t="shared" si="6"/>
        <v>8.01404853128991</v>
      </c>
      <c r="K21" s="113">
        <f t="shared" si="4"/>
        <v>104.01404853128992</v>
      </c>
      <c r="L21" s="222">
        <f t="shared" si="5"/>
        <v>1673.3829415589926</v>
      </c>
      <c r="M21" s="160">
        <f t="shared" si="3"/>
        <v>1506.0446474030934</v>
      </c>
      <c r="N21" s="222"/>
      <c r="O21" s="160">
        <f t="shared" si="0"/>
        <v>90.96903810713192</v>
      </c>
      <c r="P21" s="292">
        <f t="shared" si="1"/>
        <v>454.84519053565964</v>
      </c>
      <c r="Q21" s="290"/>
      <c r="R21" s="290"/>
      <c r="S21" s="121"/>
    </row>
    <row r="22" spans="1:19" ht="16.5" customHeight="1">
      <c r="A22" s="22">
        <v>15</v>
      </c>
      <c r="B22" s="99" t="s">
        <v>460</v>
      </c>
      <c r="C22" s="69"/>
      <c r="D22" s="69">
        <v>93</v>
      </c>
      <c r="E22" s="33">
        <v>9</v>
      </c>
      <c r="F22" s="149">
        <v>5</v>
      </c>
      <c r="G22" s="66"/>
      <c r="H22" s="64"/>
      <c r="I22" s="112">
        <v>27.716643741403026</v>
      </c>
      <c r="J22" s="112">
        <f t="shared" si="6"/>
        <v>6.929160935350756</v>
      </c>
      <c r="K22" s="113">
        <f t="shared" si="4"/>
        <v>104.92916093535075</v>
      </c>
      <c r="L22" s="222">
        <f t="shared" si="5"/>
        <v>1688.1053132788452</v>
      </c>
      <c r="M22" s="160">
        <f t="shared" si="3"/>
        <v>1519.2947819509607</v>
      </c>
      <c r="N22" s="222"/>
      <c r="O22" s="160">
        <f t="shared" si="0"/>
        <v>91.7693809101743</v>
      </c>
      <c r="P22" s="292">
        <f t="shared" si="1"/>
        <v>458.8469045508715</v>
      </c>
      <c r="Q22" s="290"/>
      <c r="R22" s="290"/>
      <c r="S22" s="121"/>
    </row>
    <row r="23" spans="1:19" ht="16.5" customHeight="1">
      <c r="A23" s="22">
        <v>16</v>
      </c>
      <c r="B23" s="99" t="s">
        <v>461</v>
      </c>
      <c r="C23" s="69"/>
      <c r="D23" s="69">
        <v>93</v>
      </c>
      <c r="E23" s="33">
        <v>6</v>
      </c>
      <c r="F23" s="149">
        <v>5</v>
      </c>
      <c r="G23" s="66"/>
      <c r="H23" s="64"/>
      <c r="I23" s="112">
        <v>38.551859099804304</v>
      </c>
      <c r="J23" s="112">
        <f t="shared" si="6"/>
        <v>9.637964774951076</v>
      </c>
      <c r="K23" s="113">
        <f t="shared" si="4"/>
        <v>107.63796477495107</v>
      </c>
      <c r="L23" s="222">
        <f t="shared" si="5"/>
        <v>1731.6846778091383</v>
      </c>
      <c r="M23" s="160">
        <f t="shared" si="3"/>
        <v>1558.5162100282246</v>
      </c>
      <c r="N23" s="222"/>
      <c r="O23" s="160">
        <f t="shared" si="0"/>
        <v>94.13845781073566</v>
      </c>
      <c r="P23" s="292">
        <f t="shared" si="1"/>
        <v>470.6922890536783</v>
      </c>
      <c r="Q23" s="290"/>
      <c r="R23" s="290"/>
      <c r="S23" s="121"/>
    </row>
    <row r="24" spans="1:19" ht="16.5" customHeight="1">
      <c r="A24" s="69">
        <v>17</v>
      </c>
      <c r="B24" s="99" t="s">
        <v>462</v>
      </c>
      <c r="C24" s="69"/>
      <c r="D24" s="69">
        <v>93</v>
      </c>
      <c r="E24" s="33">
        <v>4</v>
      </c>
      <c r="F24" s="149">
        <v>3</v>
      </c>
      <c r="G24" s="66"/>
      <c r="H24" s="64"/>
      <c r="I24" s="112">
        <v>37.135614702154626</v>
      </c>
      <c r="J24" s="112">
        <f>+I24*0.25</f>
        <v>9.283903675538657</v>
      </c>
      <c r="K24" s="113">
        <f t="shared" si="4"/>
        <v>105.28390367553865</v>
      </c>
      <c r="L24" s="222">
        <f t="shared" si="5"/>
        <v>1693.8124312927523</v>
      </c>
      <c r="M24" s="160">
        <f t="shared" si="3"/>
        <v>1524.4311881634771</v>
      </c>
      <c r="N24" s="222"/>
      <c r="O24" s="160">
        <f t="shared" si="0"/>
        <v>92.07963328767573</v>
      </c>
      <c r="P24" s="292">
        <f t="shared" si="1"/>
        <v>460.39816643837867</v>
      </c>
      <c r="Q24" s="290"/>
      <c r="R24" s="290"/>
      <c r="S24" s="121"/>
    </row>
    <row r="25" spans="1:19" s="150" customFormat="1" ht="16.5" customHeight="1">
      <c r="A25" s="173" t="s">
        <v>12</v>
      </c>
      <c r="B25" s="174" t="s">
        <v>607</v>
      </c>
      <c r="C25" s="175">
        <v>27</v>
      </c>
      <c r="D25" s="175">
        <f>SUM(D26:D40)</f>
        <v>837</v>
      </c>
      <c r="E25" s="175">
        <f>SUM(E26:E40)</f>
        <v>81</v>
      </c>
      <c r="F25" s="204"/>
      <c r="G25" s="66"/>
      <c r="H25" s="175">
        <f>SUM(H26:H40)</f>
        <v>180</v>
      </c>
      <c r="I25" s="175">
        <f>SUM(I26:I40)</f>
        <v>283.6867129966825</v>
      </c>
      <c r="J25" s="175">
        <f>SUM(J26:J40)</f>
        <v>47.706678249170636</v>
      </c>
      <c r="K25" s="6">
        <f>SUM(K26:K40)</f>
        <v>1108.7066782491706</v>
      </c>
      <c r="L25" s="225">
        <f>SUM(L26:L40)</f>
        <v>17836.925576611706</v>
      </c>
      <c r="M25" s="160">
        <f t="shared" si="3"/>
        <v>16053.233018950536</v>
      </c>
      <c r="N25" s="221">
        <f>+L25*0.1</f>
        <v>1783.6925576611707</v>
      </c>
      <c r="O25" s="225">
        <f t="shared" si="0"/>
        <v>969.6572865629777</v>
      </c>
      <c r="P25" s="290">
        <f t="shared" si="1"/>
        <v>4848.286432814888</v>
      </c>
      <c r="Q25" s="290"/>
      <c r="R25" s="290"/>
      <c r="S25" s="121"/>
    </row>
    <row r="26" spans="1:19" ht="16.5" customHeight="1">
      <c r="A26" s="64">
        <v>1</v>
      </c>
      <c r="B26" s="102" t="s">
        <v>463</v>
      </c>
      <c r="C26" s="65"/>
      <c r="D26" s="69">
        <v>93</v>
      </c>
      <c r="E26" s="66">
        <v>5</v>
      </c>
      <c r="F26" s="203">
        <v>3</v>
      </c>
      <c r="G26" s="66"/>
      <c r="H26" s="64"/>
      <c r="I26" s="64">
        <v>19.37669376693767</v>
      </c>
      <c r="J26" s="112">
        <f aca="true" t="shared" si="7" ref="J26:J33">+I26*0.25</f>
        <v>4.8441734417344176</v>
      </c>
      <c r="K26" s="113">
        <f aca="true" t="shared" si="8" ref="K26:K40">D26+F26+H26+J26</f>
        <v>100.84417344173441</v>
      </c>
      <c r="L26" s="222">
        <f aca="true" t="shared" si="9" ref="L26:L40">+$J$63*K26</f>
        <v>1622.3858409111963</v>
      </c>
      <c r="M26" s="160">
        <f t="shared" si="3"/>
        <v>1460.1472568200768</v>
      </c>
      <c r="N26" s="222"/>
      <c r="O26" s="160">
        <f t="shared" si="0"/>
        <v>88.19671559985179</v>
      </c>
      <c r="P26" s="292">
        <f t="shared" si="1"/>
        <v>440.98357799925896</v>
      </c>
      <c r="Q26" s="290"/>
      <c r="R26" s="290"/>
      <c r="S26" s="121"/>
    </row>
    <row r="27" spans="1:19" ht="16.5" customHeight="1">
      <c r="A27" s="22">
        <v>2</v>
      </c>
      <c r="B27" s="103" t="s">
        <v>464</v>
      </c>
      <c r="C27" s="34"/>
      <c r="D27" s="69">
        <v>93</v>
      </c>
      <c r="E27" s="68">
        <v>4</v>
      </c>
      <c r="F27" s="205">
        <v>3</v>
      </c>
      <c r="G27" s="66"/>
      <c r="H27" s="64"/>
      <c r="I27" s="22">
        <v>23.19884726224784</v>
      </c>
      <c r="J27" s="112">
        <f t="shared" si="7"/>
        <v>5.79971181556196</v>
      </c>
      <c r="K27" s="113">
        <f t="shared" si="8"/>
        <v>101.79971181556196</v>
      </c>
      <c r="L27" s="222">
        <f t="shared" si="9"/>
        <v>1637.7585875482723</v>
      </c>
      <c r="M27" s="160">
        <f t="shared" si="3"/>
        <v>1473.9827287934452</v>
      </c>
      <c r="N27" s="222"/>
      <c r="O27" s="160">
        <f t="shared" si="0"/>
        <v>89.03241431525556</v>
      </c>
      <c r="P27" s="292">
        <f t="shared" si="1"/>
        <v>445.1620715762778</v>
      </c>
      <c r="Q27" s="290"/>
      <c r="R27" s="290"/>
      <c r="S27" s="121"/>
    </row>
    <row r="28" spans="1:19" ht="16.5" customHeight="1">
      <c r="A28" s="64">
        <v>3</v>
      </c>
      <c r="B28" s="104" t="s">
        <v>465</v>
      </c>
      <c r="C28" s="34"/>
      <c r="D28" s="69">
        <v>93</v>
      </c>
      <c r="E28" s="68">
        <v>8</v>
      </c>
      <c r="F28" s="205">
        <v>5</v>
      </c>
      <c r="G28" s="66"/>
      <c r="H28" s="64"/>
      <c r="I28" s="22">
        <v>25.485799701046336</v>
      </c>
      <c r="J28" s="112">
        <f t="shared" si="7"/>
        <v>6.371449925261584</v>
      </c>
      <c r="K28" s="113">
        <f t="shared" si="8"/>
        <v>104.37144992526159</v>
      </c>
      <c r="L28" s="222">
        <f t="shared" si="9"/>
        <v>1679.1328321209553</v>
      </c>
      <c r="M28" s="160">
        <f t="shared" si="3"/>
        <v>1511.21954890886</v>
      </c>
      <c r="N28" s="222"/>
      <c r="O28" s="160">
        <f t="shared" si="0"/>
        <v>91.28161570109</v>
      </c>
      <c r="P28" s="292">
        <f t="shared" si="1"/>
        <v>456.40807850545</v>
      </c>
      <c r="Q28" s="290"/>
      <c r="R28" s="290"/>
      <c r="S28" s="121"/>
    </row>
    <row r="29" spans="1:19" ht="16.5" customHeight="1">
      <c r="A29" s="22">
        <v>4</v>
      </c>
      <c r="B29" s="104" t="s">
        <v>466</v>
      </c>
      <c r="C29" s="34"/>
      <c r="D29" s="69">
        <v>93</v>
      </c>
      <c r="E29" s="68">
        <v>12</v>
      </c>
      <c r="F29" s="205">
        <v>7</v>
      </c>
      <c r="G29" s="66"/>
      <c r="H29" s="64"/>
      <c r="I29" s="22">
        <v>10.077519379844961</v>
      </c>
      <c r="J29" s="112">
        <f t="shared" si="7"/>
        <v>2.5193798449612403</v>
      </c>
      <c r="K29" s="113">
        <f t="shared" si="8"/>
        <v>102.51937984496124</v>
      </c>
      <c r="L29" s="224">
        <f t="shared" si="9"/>
        <v>1649.3366409072842</v>
      </c>
      <c r="M29" s="160">
        <f t="shared" si="3"/>
        <v>1484.4029768165558</v>
      </c>
      <c r="N29" s="224"/>
      <c r="O29" s="221">
        <f t="shared" si="0"/>
        <v>89.66182456622963</v>
      </c>
      <c r="P29" s="292">
        <f t="shared" si="1"/>
        <v>448.3091228311481</v>
      </c>
      <c r="Q29" s="290"/>
      <c r="R29" s="290"/>
      <c r="S29" s="121"/>
    </row>
    <row r="30" spans="1:19" ht="16.5" customHeight="1">
      <c r="A30" s="64">
        <v>5</v>
      </c>
      <c r="B30" s="102" t="s">
        <v>467</v>
      </c>
      <c r="C30" s="34"/>
      <c r="D30" s="69">
        <v>93</v>
      </c>
      <c r="E30" s="68">
        <v>7</v>
      </c>
      <c r="F30" s="205">
        <v>5</v>
      </c>
      <c r="G30" s="66"/>
      <c r="H30" s="64"/>
      <c r="I30" s="22">
        <v>11.609498680738787</v>
      </c>
      <c r="J30" s="112">
        <f t="shared" si="7"/>
        <v>2.9023746701846966</v>
      </c>
      <c r="K30" s="113">
        <f t="shared" si="8"/>
        <v>100.9023746701847</v>
      </c>
      <c r="L30" s="222">
        <f t="shared" si="9"/>
        <v>1623.3221850324155</v>
      </c>
      <c r="M30" s="160">
        <f t="shared" si="3"/>
        <v>1460.989966529174</v>
      </c>
      <c r="N30" s="222"/>
      <c r="O30" s="160">
        <f t="shared" si="0"/>
        <v>88.24761747170021</v>
      </c>
      <c r="P30" s="292">
        <f t="shared" si="1"/>
        <v>441.23808735850105</v>
      </c>
      <c r="Q30" s="290"/>
      <c r="R30" s="290"/>
      <c r="S30" s="121"/>
    </row>
    <row r="31" spans="1:19" ht="16.5" customHeight="1">
      <c r="A31" s="22">
        <v>6</v>
      </c>
      <c r="B31" s="103" t="s">
        <v>468</v>
      </c>
      <c r="C31" s="34"/>
      <c r="D31" s="69">
        <v>93</v>
      </c>
      <c r="E31" s="68">
        <v>6</v>
      </c>
      <c r="F31" s="205">
        <v>5</v>
      </c>
      <c r="G31" s="66"/>
      <c r="H31" s="64"/>
      <c r="I31" s="22">
        <v>18.451242829827915</v>
      </c>
      <c r="J31" s="112">
        <f t="shared" si="7"/>
        <v>4.612810707456979</v>
      </c>
      <c r="K31" s="113">
        <f t="shared" si="8"/>
        <v>102.61281070745697</v>
      </c>
      <c r="L31" s="222">
        <f t="shared" si="9"/>
        <v>1650.8397610504105</v>
      </c>
      <c r="M31" s="160">
        <f t="shared" si="3"/>
        <v>1485.7557849453694</v>
      </c>
      <c r="N31" s="222"/>
      <c r="O31" s="160">
        <f t="shared" si="0"/>
        <v>89.74353771758533</v>
      </c>
      <c r="P31" s="292">
        <f t="shared" si="1"/>
        <v>448.71768858792666</v>
      </c>
      <c r="Q31" s="290"/>
      <c r="R31" s="290"/>
      <c r="S31" s="121"/>
    </row>
    <row r="32" spans="1:19" ht="16.5" customHeight="1">
      <c r="A32" s="64">
        <v>7</v>
      </c>
      <c r="B32" s="102" t="s">
        <v>469</v>
      </c>
      <c r="C32" s="34"/>
      <c r="D32" s="69">
        <v>93</v>
      </c>
      <c r="E32" s="68">
        <v>5</v>
      </c>
      <c r="F32" s="205">
        <v>3</v>
      </c>
      <c r="G32" s="66"/>
      <c r="H32" s="64"/>
      <c r="I32" s="22">
        <v>23.380900109769485</v>
      </c>
      <c r="J32" s="112">
        <f t="shared" si="7"/>
        <v>5.845225027442371</v>
      </c>
      <c r="K32" s="113">
        <f t="shared" si="8"/>
        <v>101.84522502744237</v>
      </c>
      <c r="L32" s="222">
        <f t="shared" si="9"/>
        <v>1638.4908062576835</v>
      </c>
      <c r="M32" s="160">
        <f t="shared" si="3"/>
        <v>1474.6417256319153</v>
      </c>
      <c r="N32" s="222"/>
      <c r="O32" s="160">
        <f t="shared" si="0"/>
        <v>89.07221944893115</v>
      </c>
      <c r="P32" s="292">
        <f t="shared" si="1"/>
        <v>445.36109724465575</v>
      </c>
      <c r="Q32" s="290"/>
      <c r="R32" s="290"/>
      <c r="S32" s="121"/>
    </row>
    <row r="33" spans="1:19" ht="16.5" customHeight="1">
      <c r="A33" s="22">
        <v>8</v>
      </c>
      <c r="B33" s="102" t="s">
        <v>470</v>
      </c>
      <c r="C33" s="34"/>
      <c r="D33" s="69">
        <v>93</v>
      </c>
      <c r="E33" s="68">
        <v>13</v>
      </c>
      <c r="F33" s="205">
        <v>5</v>
      </c>
      <c r="G33" s="66"/>
      <c r="H33" s="64"/>
      <c r="I33" s="22">
        <v>32.78084714548803</v>
      </c>
      <c r="J33" s="112">
        <f t="shared" si="7"/>
        <v>8.195211786372008</v>
      </c>
      <c r="K33" s="113">
        <f t="shared" si="8"/>
        <v>106.19521178637201</v>
      </c>
      <c r="L33" s="222">
        <f t="shared" si="9"/>
        <v>1708.473599362892</v>
      </c>
      <c r="M33" s="160">
        <f t="shared" si="3"/>
        <v>1537.6262394266028</v>
      </c>
      <c r="N33" s="222"/>
      <c r="O33" s="160">
        <f t="shared" si="0"/>
        <v>92.87664891616365</v>
      </c>
      <c r="P33" s="292">
        <f t="shared" si="1"/>
        <v>464.3832445808182</v>
      </c>
      <c r="Q33" s="290"/>
      <c r="R33" s="290"/>
      <c r="S33" s="121"/>
    </row>
    <row r="34" spans="1:19" ht="16.5" customHeight="1">
      <c r="A34" s="64">
        <v>9</v>
      </c>
      <c r="B34" s="102" t="s">
        <v>471</v>
      </c>
      <c r="C34" s="34"/>
      <c r="D34" s="69">
        <v>93</v>
      </c>
      <c r="E34" s="68">
        <v>7</v>
      </c>
      <c r="F34" s="205">
        <v>5</v>
      </c>
      <c r="G34" s="66"/>
      <c r="H34" s="64"/>
      <c r="I34" s="22">
        <v>26.465364120781526</v>
      </c>
      <c r="J34" s="112">
        <f>+I34*0.25</f>
        <v>6.616341030195382</v>
      </c>
      <c r="K34" s="113">
        <f t="shared" si="8"/>
        <v>104.61634103019539</v>
      </c>
      <c r="L34" s="222">
        <f t="shared" si="9"/>
        <v>1683.072651821488</v>
      </c>
      <c r="M34" s="160">
        <f t="shared" si="3"/>
        <v>1514.7653866393393</v>
      </c>
      <c r="N34" s="222"/>
      <c r="O34" s="160">
        <f t="shared" si="0"/>
        <v>91.49579357966877</v>
      </c>
      <c r="P34" s="292">
        <f t="shared" si="1"/>
        <v>457.47896789834385</v>
      </c>
      <c r="Q34" s="290"/>
      <c r="R34" s="290"/>
      <c r="S34" s="121"/>
    </row>
    <row r="35" spans="1:19" ht="16.5" customHeight="1">
      <c r="A35" s="22">
        <v>10</v>
      </c>
      <c r="B35" s="71" t="s">
        <v>90</v>
      </c>
      <c r="C35" s="34"/>
      <c r="D35" s="69"/>
      <c r="E35" s="68">
        <v>6</v>
      </c>
      <c r="F35" s="205">
        <v>3</v>
      </c>
      <c r="G35" s="66">
        <v>15</v>
      </c>
      <c r="H35" s="171">
        <f>+G35*4</f>
        <v>60</v>
      </c>
      <c r="I35" s="22">
        <v>13.91</v>
      </c>
      <c r="J35" s="112"/>
      <c r="K35" s="113">
        <f t="shared" si="8"/>
        <v>63</v>
      </c>
      <c r="L35" s="222">
        <f t="shared" si="9"/>
        <v>1013.5469853046123</v>
      </c>
      <c r="M35" s="160">
        <f t="shared" si="3"/>
        <v>912.1922867741512</v>
      </c>
      <c r="N35" s="222"/>
      <c r="O35" s="160">
        <f t="shared" si="0"/>
        <v>55.098801379943154</v>
      </c>
      <c r="P35" s="292">
        <f t="shared" si="1"/>
        <v>275.49400689971577</v>
      </c>
      <c r="Q35" s="290"/>
      <c r="R35" s="290"/>
      <c r="S35" s="121"/>
    </row>
    <row r="36" spans="1:19" ht="16.5" customHeight="1">
      <c r="A36" s="64">
        <v>11</v>
      </c>
      <c r="B36" s="71" t="s">
        <v>89</v>
      </c>
      <c r="C36" s="34"/>
      <c r="D36" s="69"/>
      <c r="E36" s="88">
        <v>2</v>
      </c>
      <c r="F36" s="275"/>
      <c r="G36" s="66">
        <v>15</v>
      </c>
      <c r="H36" s="171">
        <f>+G36*E36+F36</f>
        <v>30</v>
      </c>
      <c r="I36" s="22">
        <v>25.68</v>
      </c>
      <c r="J36" s="112"/>
      <c r="K36" s="113">
        <f t="shared" si="8"/>
        <v>30</v>
      </c>
      <c r="L36" s="222">
        <f t="shared" si="9"/>
        <v>482.64142157362494</v>
      </c>
      <c r="M36" s="160">
        <f t="shared" si="3"/>
        <v>434.37727941626247</v>
      </c>
      <c r="N36" s="222"/>
      <c r="O36" s="160">
        <f t="shared" si="0"/>
        <v>26.237524466639595</v>
      </c>
      <c r="P36" s="292">
        <f t="shared" si="1"/>
        <v>131.18762233319796</v>
      </c>
      <c r="Q36" s="290"/>
      <c r="R36" s="290"/>
      <c r="S36" s="121"/>
    </row>
    <row r="37" spans="1:19" ht="16.5" customHeight="1">
      <c r="A37" s="22">
        <v>12</v>
      </c>
      <c r="B37" s="71" t="s">
        <v>91</v>
      </c>
      <c r="C37" s="34"/>
      <c r="D37" s="69"/>
      <c r="E37" s="88">
        <v>1</v>
      </c>
      <c r="F37" s="275"/>
      <c r="G37" s="66">
        <v>15</v>
      </c>
      <c r="H37" s="171">
        <f>+G37*E37+F37</f>
        <v>15</v>
      </c>
      <c r="I37" s="22">
        <v>9.35</v>
      </c>
      <c r="J37" s="112"/>
      <c r="K37" s="113">
        <f t="shared" si="8"/>
        <v>15</v>
      </c>
      <c r="L37" s="222">
        <f t="shared" si="9"/>
        <v>241.32071078681247</v>
      </c>
      <c r="M37" s="160">
        <f t="shared" si="3"/>
        <v>217.18863970813123</v>
      </c>
      <c r="N37" s="222"/>
      <c r="O37" s="160">
        <f aca="true" t="shared" si="10" ref="O37:O56">+$L$63*K37</f>
        <v>13.118762233319798</v>
      </c>
      <c r="P37" s="292">
        <f t="shared" si="1"/>
        <v>65.59381116659898</v>
      </c>
      <c r="Q37" s="290"/>
      <c r="R37" s="290"/>
      <c r="S37" s="121"/>
    </row>
    <row r="38" spans="1:19" ht="16.5" customHeight="1">
      <c r="A38" s="64">
        <v>13</v>
      </c>
      <c r="B38" s="71" t="s">
        <v>92</v>
      </c>
      <c r="C38" s="34"/>
      <c r="D38" s="69"/>
      <c r="E38" s="88">
        <v>1</v>
      </c>
      <c r="F38" s="275"/>
      <c r="G38" s="66">
        <v>15</v>
      </c>
      <c r="H38" s="171">
        <f>+G38*E38+F38</f>
        <v>15</v>
      </c>
      <c r="I38" s="22">
        <v>14.6</v>
      </c>
      <c r="J38" s="112"/>
      <c r="K38" s="113">
        <f t="shared" si="8"/>
        <v>15</v>
      </c>
      <c r="L38" s="222">
        <f t="shared" si="9"/>
        <v>241.32071078681247</v>
      </c>
      <c r="M38" s="160">
        <f t="shared" si="3"/>
        <v>217.18863970813123</v>
      </c>
      <c r="N38" s="222"/>
      <c r="O38" s="160">
        <f t="shared" si="10"/>
        <v>13.118762233319798</v>
      </c>
      <c r="P38" s="292">
        <f t="shared" si="1"/>
        <v>65.59381116659898</v>
      </c>
      <c r="Q38" s="290"/>
      <c r="R38" s="290"/>
      <c r="S38" s="121"/>
    </row>
    <row r="39" spans="1:19" ht="16.5" customHeight="1">
      <c r="A39" s="22">
        <v>14</v>
      </c>
      <c r="B39" s="71" t="s">
        <v>93</v>
      </c>
      <c r="C39" s="34"/>
      <c r="D39" s="69"/>
      <c r="E39" s="88">
        <v>3</v>
      </c>
      <c r="F39" s="275"/>
      <c r="G39" s="66">
        <v>15</v>
      </c>
      <c r="H39" s="171">
        <f>+G39*E39+F39</f>
        <v>45</v>
      </c>
      <c r="I39" s="22">
        <v>9.75</v>
      </c>
      <c r="J39" s="112"/>
      <c r="K39" s="113">
        <f t="shared" si="8"/>
        <v>45</v>
      </c>
      <c r="L39" s="222">
        <f t="shared" si="9"/>
        <v>723.9621323604374</v>
      </c>
      <c r="M39" s="160">
        <f t="shared" si="3"/>
        <v>651.5659191243936</v>
      </c>
      <c r="N39" s="222"/>
      <c r="O39" s="160">
        <f t="shared" si="10"/>
        <v>39.35628669995939</v>
      </c>
      <c r="P39" s="292">
        <f t="shared" si="1"/>
        <v>196.78143349979695</v>
      </c>
      <c r="Q39" s="290"/>
      <c r="R39" s="290"/>
      <c r="S39" s="121"/>
    </row>
    <row r="40" spans="1:19" ht="16.5" customHeight="1">
      <c r="A40" s="64">
        <v>15</v>
      </c>
      <c r="B40" s="71" t="s">
        <v>94</v>
      </c>
      <c r="C40" s="34"/>
      <c r="D40" s="69"/>
      <c r="E40" s="88">
        <v>1</v>
      </c>
      <c r="F40" s="275"/>
      <c r="G40" s="66">
        <v>15</v>
      </c>
      <c r="H40" s="171">
        <f>+G40*E40+F40</f>
        <v>15</v>
      </c>
      <c r="I40" s="22">
        <v>19.57</v>
      </c>
      <c r="J40" s="112"/>
      <c r="K40" s="113">
        <f t="shared" si="8"/>
        <v>15</v>
      </c>
      <c r="L40" s="222">
        <f t="shared" si="9"/>
        <v>241.32071078681247</v>
      </c>
      <c r="M40" s="160">
        <f t="shared" si="3"/>
        <v>217.18863970813123</v>
      </c>
      <c r="N40" s="222"/>
      <c r="O40" s="160">
        <f t="shared" si="10"/>
        <v>13.118762233319798</v>
      </c>
      <c r="P40" s="292">
        <f t="shared" si="1"/>
        <v>65.59381116659898</v>
      </c>
      <c r="Q40" s="290"/>
      <c r="R40" s="290"/>
      <c r="S40" s="121"/>
    </row>
    <row r="41" spans="1:19" s="72" customFormat="1" ht="16.5" customHeight="1">
      <c r="A41" s="177" t="s">
        <v>16</v>
      </c>
      <c r="B41" s="178" t="s">
        <v>84</v>
      </c>
      <c r="C41" s="177">
        <v>12</v>
      </c>
      <c r="D41" s="177">
        <f>SUM(D42:D49)</f>
        <v>372</v>
      </c>
      <c r="E41" s="177">
        <f>SUM(E42:E49)</f>
        <v>66</v>
      </c>
      <c r="F41" s="200"/>
      <c r="G41" s="66"/>
      <c r="H41" s="177">
        <f>SUM(H42:H49)</f>
        <v>210</v>
      </c>
      <c r="I41" s="177">
        <f>SUM(I42:I49)</f>
        <v>97.1669898341649</v>
      </c>
      <c r="J41" s="177">
        <f>SUM(J42:J49)</f>
        <v>11.261747458541226</v>
      </c>
      <c r="K41" s="6">
        <f>SUM(K42:K49)</f>
        <v>624.2617474585412</v>
      </c>
      <c r="L41" s="225">
        <f>SUM(L42:L49)</f>
        <v>10043.152574247519</v>
      </c>
      <c r="M41" s="160">
        <f t="shared" si="3"/>
        <v>9038.837316822766</v>
      </c>
      <c r="N41" s="221">
        <f>+L41*0.1</f>
        <v>1004.315257424752</v>
      </c>
      <c r="O41" s="225">
        <f>+$L$63*K41</f>
        <v>545.9694290843554</v>
      </c>
      <c r="P41" s="290">
        <f t="shared" si="1"/>
        <v>2729.847145421777</v>
      </c>
      <c r="Q41" s="290"/>
      <c r="R41" s="290"/>
      <c r="S41" s="121"/>
    </row>
    <row r="42" spans="1:19" ht="16.5" customHeight="1">
      <c r="A42" s="109">
        <v>1</v>
      </c>
      <c r="B42" s="451" t="s">
        <v>472</v>
      </c>
      <c r="C42" s="33"/>
      <c r="D42" s="69">
        <v>93</v>
      </c>
      <c r="E42" s="33">
        <v>11</v>
      </c>
      <c r="F42" s="149">
        <v>7</v>
      </c>
      <c r="G42" s="66"/>
      <c r="H42" s="64"/>
      <c r="I42" s="106">
        <v>11.215502055196712</v>
      </c>
      <c r="J42" s="112">
        <f>+I42*0.25</f>
        <v>2.803875513799178</v>
      </c>
      <c r="K42" s="113">
        <f aca="true" t="shared" si="11" ref="K42:K49">D42+F42+H42+J42</f>
        <v>102.80387551379918</v>
      </c>
      <c r="L42" s="222">
        <f aca="true" t="shared" si="12" ref="L42:L57">+$J$63*K42</f>
        <v>1653.9136207086003</v>
      </c>
      <c r="M42" s="160">
        <f>+L42*0.9</f>
        <v>1488.5222586377404</v>
      </c>
      <c r="N42" s="222"/>
      <c r="O42" s="160">
        <f t="shared" si="10"/>
        <v>89.91063996862258</v>
      </c>
      <c r="P42" s="292">
        <f t="shared" si="1"/>
        <v>449.5531998431129</v>
      </c>
      <c r="Q42" s="290"/>
      <c r="R42" s="290"/>
      <c r="S42" s="121"/>
    </row>
    <row r="43" spans="1:19" ht="16.5" customHeight="1">
      <c r="A43" s="109">
        <v>2</v>
      </c>
      <c r="B43" s="451" t="s">
        <v>473</v>
      </c>
      <c r="C43" s="33"/>
      <c r="D43" s="69">
        <v>93</v>
      </c>
      <c r="E43" s="33">
        <v>14</v>
      </c>
      <c r="F43" s="149">
        <v>7</v>
      </c>
      <c r="G43" s="66"/>
      <c r="H43" s="64"/>
      <c r="I43" s="106">
        <v>11.181640625</v>
      </c>
      <c r="J43" s="112">
        <f>+I43*0.25</f>
        <v>2.79541015625</v>
      </c>
      <c r="K43" s="113">
        <f t="shared" si="11"/>
        <v>102.79541015625</v>
      </c>
      <c r="L43" s="222">
        <f t="shared" si="12"/>
        <v>1653.7774296352113</v>
      </c>
      <c r="M43" s="160">
        <f t="shared" si="3"/>
        <v>1488.3996866716902</v>
      </c>
      <c r="N43" s="222"/>
      <c r="O43" s="160">
        <f t="shared" si="10"/>
        <v>89.90323630109539</v>
      </c>
      <c r="P43" s="292">
        <f t="shared" si="1"/>
        <v>449.51618150547694</v>
      </c>
      <c r="Q43" s="290"/>
      <c r="R43" s="290"/>
      <c r="S43" s="121"/>
    </row>
    <row r="44" spans="1:19" ht="16.5" customHeight="1">
      <c r="A44" s="109">
        <v>3</v>
      </c>
      <c r="B44" s="451" t="s">
        <v>474</v>
      </c>
      <c r="C44" s="33"/>
      <c r="D44" s="69">
        <v>93</v>
      </c>
      <c r="E44" s="33">
        <v>13</v>
      </c>
      <c r="F44" s="149">
        <v>7</v>
      </c>
      <c r="G44" s="66"/>
      <c r="H44" s="64"/>
      <c r="I44" s="106">
        <v>8.541320022185246</v>
      </c>
      <c r="J44" s="112">
        <f>+I44*0.25</f>
        <v>2.1353300055463116</v>
      </c>
      <c r="K44" s="113">
        <f t="shared" si="11"/>
        <v>102.13533000554631</v>
      </c>
      <c r="L44" s="222">
        <f t="shared" si="12"/>
        <v>1643.1580288922726</v>
      </c>
      <c r="M44" s="160">
        <f t="shared" si="3"/>
        <v>1478.8422260030454</v>
      </c>
      <c r="N44" s="222"/>
      <c r="O44" s="221">
        <f t="shared" si="10"/>
        <v>89.32594066429435</v>
      </c>
      <c r="P44" s="292">
        <f t="shared" si="1"/>
        <v>446.62970332147177</v>
      </c>
      <c r="Q44" s="290"/>
      <c r="R44" s="290"/>
      <c r="S44" s="121"/>
    </row>
    <row r="45" spans="1:19" ht="16.5" customHeight="1">
      <c r="A45" s="109">
        <v>4</v>
      </c>
      <c r="B45" s="451" t="s">
        <v>475</v>
      </c>
      <c r="C45" s="33"/>
      <c r="D45" s="69">
        <v>93</v>
      </c>
      <c r="E45" s="33">
        <v>13</v>
      </c>
      <c r="F45" s="149">
        <v>7</v>
      </c>
      <c r="G45" s="66"/>
      <c r="H45" s="64"/>
      <c r="I45" s="106">
        <v>14.108527131782948</v>
      </c>
      <c r="J45" s="112">
        <f>+I45*0.25</f>
        <v>3.527131782945737</v>
      </c>
      <c r="K45" s="113">
        <f t="shared" si="11"/>
        <v>103.52713178294573</v>
      </c>
      <c r="L45" s="222">
        <f t="shared" si="12"/>
        <v>1665.5494018386978</v>
      </c>
      <c r="M45" s="160">
        <f t="shared" si="3"/>
        <v>1498.994461654828</v>
      </c>
      <c r="N45" s="222"/>
      <c r="O45" s="160">
        <f t="shared" si="10"/>
        <v>90.543188437202</v>
      </c>
      <c r="P45" s="292">
        <f t="shared" si="1"/>
        <v>452.71594218601</v>
      </c>
      <c r="Q45" s="290"/>
      <c r="R45" s="290"/>
      <c r="S45" s="121"/>
    </row>
    <row r="46" spans="1:19" ht="16.5" customHeight="1">
      <c r="A46" s="109">
        <v>5</v>
      </c>
      <c r="B46" s="125" t="s">
        <v>85</v>
      </c>
      <c r="C46" s="33"/>
      <c r="D46" s="69"/>
      <c r="E46" s="33">
        <v>3</v>
      </c>
      <c r="F46" s="149"/>
      <c r="G46" s="66">
        <v>15</v>
      </c>
      <c r="H46" s="64">
        <f>+G46*E46+F46</f>
        <v>45</v>
      </c>
      <c r="I46" s="114">
        <v>7.57</v>
      </c>
      <c r="J46" s="112"/>
      <c r="K46" s="113">
        <f t="shared" si="11"/>
        <v>45</v>
      </c>
      <c r="L46" s="222">
        <f t="shared" si="12"/>
        <v>723.9621323604374</v>
      </c>
      <c r="M46" s="160">
        <f t="shared" si="3"/>
        <v>651.5659191243936</v>
      </c>
      <c r="N46" s="222"/>
      <c r="O46" s="221">
        <f t="shared" si="10"/>
        <v>39.35628669995939</v>
      </c>
      <c r="P46" s="292">
        <f t="shared" si="1"/>
        <v>196.78143349979695</v>
      </c>
      <c r="Q46" s="290"/>
      <c r="R46" s="290"/>
      <c r="S46" s="121"/>
    </row>
    <row r="47" spans="1:19" ht="16.5" customHeight="1">
      <c r="A47" s="109">
        <v>6</v>
      </c>
      <c r="B47" s="125" t="s">
        <v>86</v>
      </c>
      <c r="C47" s="33"/>
      <c r="D47" s="69"/>
      <c r="E47" s="33">
        <v>5</v>
      </c>
      <c r="F47" s="149">
        <v>3</v>
      </c>
      <c r="G47" s="66">
        <v>15</v>
      </c>
      <c r="H47" s="64">
        <f>+G47*4</f>
        <v>60</v>
      </c>
      <c r="I47" s="114">
        <v>14.39</v>
      </c>
      <c r="J47" s="112"/>
      <c r="K47" s="113">
        <f t="shared" si="11"/>
        <v>63</v>
      </c>
      <c r="L47" s="222">
        <f t="shared" si="12"/>
        <v>1013.5469853046123</v>
      </c>
      <c r="M47" s="160">
        <f t="shared" si="3"/>
        <v>912.1922867741512</v>
      </c>
      <c r="N47" s="222"/>
      <c r="O47" s="160">
        <f t="shared" si="10"/>
        <v>55.098801379943154</v>
      </c>
      <c r="P47" s="292">
        <f t="shared" si="1"/>
        <v>275.49400689971577</v>
      </c>
      <c r="Q47" s="290"/>
      <c r="R47" s="290"/>
      <c r="S47" s="121"/>
    </row>
    <row r="48" spans="1:19" ht="16.5" customHeight="1">
      <c r="A48" s="109">
        <v>11</v>
      </c>
      <c r="B48" s="125" t="s">
        <v>88</v>
      </c>
      <c r="C48" s="33"/>
      <c r="D48" s="69"/>
      <c r="E48" s="33">
        <v>4</v>
      </c>
      <c r="F48" s="149"/>
      <c r="G48" s="66">
        <v>15</v>
      </c>
      <c r="H48" s="64">
        <f>+G48*E48+F48</f>
        <v>60</v>
      </c>
      <c r="I48" s="114">
        <v>24.85</v>
      </c>
      <c r="J48" s="112"/>
      <c r="K48" s="113">
        <f t="shared" si="11"/>
        <v>60</v>
      </c>
      <c r="L48" s="222">
        <f t="shared" si="12"/>
        <v>965.2828431472499</v>
      </c>
      <c r="M48" s="160">
        <f t="shared" si="3"/>
        <v>868.7545588325249</v>
      </c>
      <c r="N48" s="222"/>
      <c r="O48" s="160">
        <f t="shared" si="10"/>
        <v>52.47504893327919</v>
      </c>
      <c r="P48" s="292">
        <f t="shared" si="1"/>
        <v>262.37524466639593</v>
      </c>
      <c r="Q48" s="290"/>
      <c r="R48" s="290"/>
      <c r="S48" s="121"/>
    </row>
    <row r="49" spans="1:19" s="141" customFormat="1" ht="16.5" customHeight="1">
      <c r="A49" s="136">
        <v>12</v>
      </c>
      <c r="B49" s="137" t="s">
        <v>87</v>
      </c>
      <c r="C49" s="138"/>
      <c r="D49" s="139"/>
      <c r="E49" s="138">
        <v>3</v>
      </c>
      <c r="F49" s="276"/>
      <c r="G49" s="66">
        <v>15</v>
      </c>
      <c r="H49" s="64">
        <f>+G49*E49+F49</f>
        <v>45</v>
      </c>
      <c r="I49" s="140">
        <v>5.31</v>
      </c>
      <c r="J49" s="112"/>
      <c r="K49" s="113">
        <f t="shared" si="11"/>
        <v>45</v>
      </c>
      <c r="L49" s="222">
        <f t="shared" si="12"/>
        <v>723.9621323604374</v>
      </c>
      <c r="M49" s="160">
        <f t="shared" si="3"/>
        <v>651.5659191243936</v>
      </c>
      <c r="N49" s="222"/>
      <c r="O49" s="221">
        <f t="shared" si="10"/>
        <v>39.35628669995939</v>
      </c>
      <c r="P49" s="292">
        <f t="shared" si="1"/>
        <v>196.78143349979695</v>
      </c>
      <c r="Q49" s="290"/>
      <c r="R49" s="290"/>
      <c r="S49" s="121"/>
    </row>
    <row r="50" spans="1:19" s="72" customFormat="1" ht="16.5" customHeight="1">
      <c r="A50" s="126" t="s">
        <v>19</v>
      </c>
      <c r="B50" s="127" t="s">
        <v>608</v>
      </c>
      <c r="C50" s="128">
        <v>14</v>
      </c>
      <c r="D50" s="38">
        <f>SUM(D51:D57)</f>
        <v>93</v>
      </c>
      <c r="E50" s="38">
        <f>SUM(E51:E57)</f>
        <v>29</v>
      </c>
      <c r="F50" s="148"/>
      <c r="G50" s="66"/>
      <c r="H50" s="129">
        <f>SUM(H51:H57)</f>
        <v>240</v>
      </c>
      <c r="I50" s="129">
        <f>SUM(I51:I57)</f>
        <v>59.96</v>
      </c>
      <c r="J50" s="129">
        <f>SUM(J51:J57)</f>
        <v>2.235</v>
      </c>
      <c r="K50" s="111">
        <f>SUM(K51:K57)</f>
        <v>348.235</v>
      </c>
      <c r="L50" s="224">
        <f t="shared" si="12"/>
        <v>5602.421181389709</v>
      </c>
      <c r="M50" s="160">
        <f t="shared" si="3"/>
        <v>5042.179063250738</v>
      </c>
      <c r="N50" s="221">
        <f>+L50*0.1</f>
        <v>560.2421181389709</v>
      </c>
      <c r="O50" s="221">
        <f t="shared" si="10"/>
        <v>304.560811088008</v>
      </c>
      <c r="P50" s="290">
        <f t="shared" si="1"/>
        <v>1522.80405544004</v>
      </c>
      <c r="Q50" s="290"/>
      <c r="R50" s="290"/>
      <c r="S50" s="121"/>
    </row>
    <row r="51" spans="1:19" ht="16.5" customHeight="1">
      <c r="A51" s="22">
        <v>1</v>
      </c>
      <c r="B51" s="71" t="s">
        <v>476</v>
      </c>
      <c r="C51" s="34"/>
      <c r="D51" s="69">
        <v>93</v>
      </c>
      <c r="E51" s="35">
        <v>10</v>
      </c>
      <c r="F51" s="206">
        <v>7</v>
      </c>
      <c r="G51" s="66"/>
      <c r="H51" s="64"/>
      <c r="I51" s="36">
        <v>8.94</v>
      </c>
      <c r="J51" s="112">
        <f>+I51*0.25</f>
        <v>2.235</v>
      </c>
      <c r="K51" s="113">
        <f aca="true" t="shared" si="13" ref="K51:K57">D51+F51+H51+J51</f>
        <v>102.235</v>
      </c>
      <c r="L51" s="222">
        <f t="shared" si="12"/>
        <v>1644.7615244859849</v>
      </c>
      <c r="M51" s="160">
        <f t="shared" si="3"/>
        <v>1480.2853720373864</v>
      </c>
      <c r="N51" s="222"/>
      <c r="O51" s="160">
        <f t="shared" si="10"/>
        <v>89.4131104615633</v>
      </c>
      <c r="P51" s="292">
        <f t="shared" si="1"/>
        <v>447.0655523078165</v>
      </c>
      <c r="Q51" s="290"/>
      <c r="R51" s="290"/>
      <c r="S51" s="121"/>
    </row>
    <row r="52" spans="1:19" ht="16.5" customHeight="1">
      <c r="A52" s="22">
        <v>2</v>
      </c>
      <c r="B52" s="71" t="s">
        <v>60</v>
      </c>
      <c r="C52" s="34"/>
      <c r="D52" s="69"/>
      <c r="E52" s="35">
        <v>5</v>
      </c>
      <c r="F52" s="206">
        <v>3</v>
      </c>
      <c r="G52" s="66">
        <v>15</v>
      </c>
      <c r="H52" s="64">
        <v>60</v>
      </c>
      <c r="I52" s="36">
        <v>6.24</v>
      </c>
      <c r="J52" s="112"/>
      <c r="K52" s="113">
        <f t="shared" si="13"/>
        <v>63</v>
      </c>
      <c r="L52" s="222">
        <f t="shared" si="12"/>
        <v>1013.5469853046123</v>
      </c>
      <c r="M52" s="160">
        <f t="shared" si="3"/>
        <v>912.1922867741512</v>
      </c>
      <c r="N52" s="222"/>
      <c r="O52" s="160">
        <f t="shared" si="10"/>
        <v>55.098801379943154</v>
      </c>
      <c r="P52" s="292">
        <f t="shared" si="1"/>
        <v>275.49400689971577</v>
      </c>
      <c r="Q52" s="290"/>
      <c r="R52" s="290"/>
      <c r="S52" s="121"/>
    </row>
    <row r="53" spans="1:19" ht="16.5" customHeight="1">
      <c r="A53" s="22">
        <v>3</v>
      </c>
      <c r="B53" s="71" t="s">
        <v>65</v>
      </c>
      <c r="C53" s="34"/>
      <c r="D53" s="69"/>
      <c r="E53" s="35">
        <v>6</v>
      </c>
      <c r="F53" s="206">
        <v>3</v>
      </c>
      <c r="G53" s="66">
        <v>15</v>
      </c>
      <c r="H53" s="64">
        <v>60</v>
      </c>
      <c r="I53" s="36">
        <v>5.57</v>
      </c>
      <c r="J53" s="112"/>
      <c r="K53" s="113">
        <f t="shared" si="13"/>
        <v>63</v>
      </c>
      <c r="L53" s="222">
        <f t="shared" si="12"/>
        <v>1013.5469853046123</v>
      </c>
      <c r="M53" s="160">
        <f t="shared" si="3"/>
        <v>912.1922867741512</v>
      </c>
      <c r="N53" s="222"/>
      <c r="O53" s="160">
        <f t="shared" si="10"/>
        <v>55.098801379943154</v>
      </c>
      <c r="P53" s="292">
        <f t="shared" si="1"/>
        <v>275.49400689971577</v>
      </c>
      <c r="Q53" s="290"/>
      <c r="R53" s="290"/>
      <c r="S53" s="121"/>
    </row>
    <row r="54" spans="1:19" ht="16.5" customHeight="1">
      <c r="A54" s="22">
        <v>4</v>
      </c>
      <c r="B54" s="71" t="s">
        <v>72</v>
      </c>
      <c r="C54" s="34"/>
      <c r="D54" s="69"/>
      <c r="E54" s="35">
        <v>3</v>
      </c>
      <c r="F54" s="206"/>
      <c r="G54" s="66">
        <v>15</v>
      </c>
      <c r="H54" s="64">
        <f>+G54*E54+F54</f>
        <v>45</v>
      </c>
      <c r="I54" s="36">
        <v>8.31</v>
      </c>
      <c r="J54" s="112"/>
      <c r="K54" s="113">
        <f t="shared" si="13"/>
        <v>45</v>
      </c>
      <c r="L54" s="222">
        <f t="shared" si="12"/>
        <v>723.9621323604374</v>
      </c>
      <c r="M54" s="160">
        <f t="shared" si="3"/>
        <v>651.5659191243936</v>
      </c>
      <c r="N54" s="222"/>
      <c r="O54" s="160">
        <f t="shared" si="10"/>
        <v>39.35628669995939</v>
      </c>
      <c r="P54" s="292">
        <f t="shared" si="1"/>
        <v>196.78143349979695</v>
      </c>
      <c r="Q54" s="290"/>
      <c r="R54" s="290"/>
      <c r="S54" s="121"/>
    </row>
    <row r="55" spans="1:19" ht="16.5" customHeight="1">
      <c r="A55" s="22">
        <v>5</v>
      </c>
      <c r="B55" s="71" t="s">
        <v>477</v>
      </c>
      <c r="C55" s="34"/>
      <c r="D55" s="69"/>
      <c r="E55" s="35">
        <v>2</v>
      </c>
      <c r="F55" s="206"/>
      <c r="G55" s="66">
        <v>15</v>
      </c>
      <c r="H55" s="64">
        <f>+G55*E55+F55</f>
        <v>30</v>
      </c>
      <c r="I55" s="36">
        <v>5.14</v>
      </c>
      <c r="J55" s="112"/>
      <c r="K55" s="113">
        <f t="shared" si="13"/>
        <v>30</v>
      </c>
      <c r="L55" s="222">
        <f t="shared" si="12"/>
        <v>482.64142157362494</v>
      </c>
      <c r="M55" s="160">
        <f t="shared" si="3"/>
        <v>434.37727941626247</v>
      </c>
      <c r="N55" s="222"/>
      <c r="O55" s="160">
        <f t="shared" si="10"/>
        <v>26.237524466639595</v>
      </c>
      <c r="P55" s="292">
        <f t="shared" si="1"/>
        <v>131.18762233319796</v>
      </c>
      <c r="Q55" s="290"/>
      <c r="R55" s="290"/>
      <c r="S55" s="121"/>
    </row>
    <row r="56" spans="1:19" ht="16.5" customHeight="1">
      <c r="A56" s="22">
        <v>6</v>
      </c>
      <c r="B56" s="71" t="s">
        <v>76</v>
      </c>
      <c r="C56" s="34"/>
      <c r="D56" s="69"/>
      <c r="E56" s="35">
        <v>1</v>
      </c>
      <c r="F56" s="206"/>
      <c r="G56" s="66">
        <v>15</v>
      </c>
      <c r="H56" s="64">
        <f>+G56*E56+F56</f>
        <v>15</v>
      </c>
      <c r="I56" s="36">
        <v>12.62</v>
      </c>
      <c r="J56" s="112"/>
      <c r="K56" s="113">
        <f t="shared" si="13"/>
        <v>15</v>
      </c>
      <c r="L56" s="222">
        <f t="shared" si="12"/>
        <v>241.32071078681247</v>
      </c>
      <c r="M56" s="160">
        <f t="shared" si="3"/>
        <v>217.18863970813123</v>
      </c>
      <c r="N56" s="222"/>
      <c r="O56" s="160">
        <f t="shared" si="10"/>
        <v>13.118762233319798</v>
      </c>
      <c r="P56" s="292">
        <f t="shared" si="1"/>
        <v>65.59381116659898</v>
      </c>
      <c r="Q56" s="290"/>
      <c r="R56" s="290"/>
      <c r="S56" s="121"/>
    </row>
    <row r="57" spans="1:19" ht="16.5" customHeight="1">
      <c r="A57" s="22">
        <v>7</v>
      </c>
      <c r="B57" s="71" t="s">
        <v>80</v>
      </c>
      <c r="C57" s="34"/>
      <c r="D57" s="69"/>
      <c r="E57" s="35">
        <v>2</v>
      </c>
      <c r="F57" s="206"/>
      <c r="G57" s="66">
        <v>15</v>
      </c>
      <c r="H57" s="64">
        <f>+G57*E57+F57</f>
        <v>30</v>
      </c>
      <c r="I57" s="36">
        <v>13.14</v>
      </c>
      <c r="J57" s="112"/>
      <c r="K57" s="113">
        <f t="shared" si="13"/>
        <v>30</v>
      </c>
      <c r="L57" s="222">
        <f t="shared" si="12"/>
        <v>482.64142157362494</v>
      </c>
      <c r="M57" s="160">
        <f t="shared" si="3"/>
        <v>434.37727941626247</v>
      </c>
      <c r="N57" s="222"/>
      <c r="O57" s="160">
        <f>+$L$63*K57</f>
        <v>26.237524466639595</v>
      </c>
      <c r="P57" s="292">
        <f t="shared" si="1"/>
        <v>131.18762233319796</v>
      </c>
      <c r="Q57" s="290"/>
      <c r="R57" s="290"/>
      <c r="S57" s="121"/>
    </row>
    <row r="58" spans="2:19" s="72" customFormat="1" ht="15">
      <c r="B58" s="132" t="s">
        <v>130</v>
      </c>
      <c r="C58" s="132"/>
      <c r="D58" s="132"/>
      <c r="E58" s="133">
        <f aca="true" t="shared" si="14" ref="E58:O58">+E50+E41+E25+E7+E5</f>
        <v>286</v>
      </c>
      <c r="F58" s="207"/>
      <c r="G58" s="133"/>
      <c r="H58" s="134">
        <f t="shared" si="14"/>
        <v>824</v>
      </c>
      <c r="I58" s="134">
        <f t="shared" si="14"/>
        <v>947.1004786078931</v>
      </c>
      <c r="J58" s="134">
        <f t="shared" si="14"/>
        <v>169.35761965197327</v>
      </c>
      <c r="K58" s="135">
        <f t="shared" si="14"/>
        <v>3758.3576196519734</v>
      </c>
      <c r="L58" s="226">
        <f t="shared" si="14"/>
        <v>60464.63547769644</v>
      </c>
      <c r="M58" s="226">
        <f t="shared" si="14"/>
        <v>54418.17192992681</v>
      </c>
      <c r="N58" s="226">
        <f t="shared" si="14"/>
        <v>6046.463547769645</v>
      </c>
      <c r="O58" s="226">
        <f t="shared" si="14"/>
        <v>3287.0000000000005</v>
      </c>
      <c r="P58" s="290">
        <f t="shared" si="1"/>
        <v>16435.000000000004</v>
      </c>
      <c r="Q58" s="290"/>
      <c r="R58" s="290"/>
      <c r="S58" s="121"/>
    </row>
    <row r="59" spans="2:19" s="72" customFormat="1" ht="15">
      <c r="B59" s="257"/>
      <c r="C59" s="257"/>
      <c r="D59" s="257"/>
      <c r="E59" s="258"/>
      <c r="F59" s="263"/>
      <c r="G59" s="258"/>
      <c r="H59" s="260"/>
      <c r="I59" s="260"/>
      <c r="J59" s="260"/>
      <c r="K59" s="261"/>
      <c r="L59" s="264"/>
      <c r="M59" s="264"/>
      <c r="N59" s="264"/>
      <c r="O59" s="264"/>
      <c r="P59" s="290"/>
      <c r="Q59" s="290"/>
      <c r="R59" s="290"/>
      <c r="S59" s="121"/>
    </row>
    <row r="60" spans="2:16" s="72" customFormat="1" ht="15">
      <c r="B60" s="257"/>
      <c r="C60" s="257"/>
      <c r="D60" s="257"/>
      <c r="E60" s="258"/>
      <c r="F60" s="263"/>
      <c r="G60" s="258"/>
      <c r="H60" s="260"/>
      <c r="I60" s="781" t="s">
        <v>314</v>
      </c>
      <c r="J60" s="781"/>
      <c r="K60" s="782" t="s">
        <v>183</v>
      </c>
      <c r="L60" s="782"/>
      <c r="M60" s="264"/>
      <c r="N60" s="264"/>
      <c r="O60" s="264"/>
      <c r="P60" s="291"/>
    </row>
    <row r="61" spans="9:12" ht="15">
      <c r="I61" s="298" t="s">
        <v>303</v>
      </c>
      <c r="J61" s="235" t="s">
        <v>303</v>
      </c>
      <c r="K61" s="135" t="s">
        <v>303</v>
      </c>
      <c r="L61" s="235" t="s">
        <v>303</v>
      </c>
    </row>
    <row r="62" spans="3:12" ht="15">
      <c r="C62" s="196"/>
      <c r="D62" s="196"/>
      <c r="G62" s="780" t="s">
        <v>211</v>
      </c>
      <c r="H62" s="739"/>
      <c r="I62" s="248">
        <f>+'DA4 ĐẦU TƯ VÀ PHẦN A PHỤ LỤC'!AF12</f>
        <v>60464.63547769645</v>
      </c>
      <c r="J62" s="248">
        <f>+I62</f>
        <v>60464.63547769645</v>
      </c>
      <c r="K62" s="252">
        <f>+'DA4 SN VÀ PHẦN A PHỤ LỤ (2'!Q11</f>
        <v>3287</v>
      </c>
      <c r="L62" s="248">
        <f>+K62</f>
        <v>3287</v>
      </c>
    </row>
    <row r="63" spans="7:12" ht="15">
      <c r="G63" s="780" t="s">
        <v>142</v>
      </c>
      <c r="H63" s="739"/>
      <c r="I63" s="254"/>
      <c r="J63" s="274">
        <f>+J62/K58</f>
        <v>16.088047385787497</v>
      </c>
      <c r="K63" s="252"/>
      <c r="L63" s="274">
        <f>+L62/K58</f>
        <v>0.8745841488879865</v>
      </c>
    </row>
    <row r="64" ht="15">
      <c r="B64" s="197"/>
    </row>
    <row r="65" spans="2:10" ht="15">
      <c r="B65" s="197"/>
      <c r="J65" s="116">
        <f>J62*5</f>
        <v>302323.17738848226</v>
      </c>
    </row>
    <row r="66" ht="15">
      <c r="B66" s="197"/>
    </row>
  </sheetData>
  <sheetProtection/>
  <mergeCells count="6">
    <mergeCell ref="A1:O1"/>
    <mergeCell ref="A2:O2"/>
    <mergeCell ref="G62:H62"/>
    <mergeCell ref="G63:H63"/>
    <mergeCell ref="I60:J60"/>
    <mergeCell ref="K60:L60"/>
  </mergeCells>
  <printOptions/>
  <pageMargins left="0.196850393700787" right="0.236220472440945" top="0.196850393700787" bottom="0.196850393700787" header="0.275590551181102" footer="0.511811023622047"/>
  <pageSetup horizontalDpi="600" verticalDpi="600" orientation="landscape" paperSize="9"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2022-07-18T09:33:09Z</cp:lastPrinted>
  <dcterms:created xsi:type="dcterms:W3CDTF">2020-03-27T00:53:39Z</dcterms:created>
  <dcterms:modified xsi:type="dcterms:W3CDTF">2022-07-18T10:00:57Z</dcterms:modified>
  <cp:category/>
  <cp:version/>
  <cp:contentType/>
  <cp:contentStatus/>
</cp:coreProperties>
</file>